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salerno\Desktop\"/>
    </mc:Choice>
  </mc:AlternateContent>
  <xr:revisionPtr revIDLastSave="0" documentId="13_ncr:1_{757C24E7-33D6-4AF4-9DE7-949B50DDD02F}" xr6:coauthVersionLast="47" xr6:coauthVersionMax="47" xr10:uidLastSave="{00000000-0000-0000-0000-000000000000}"/>
  <bookViews>
    <workbookView xWindow="-120" yWindow="-120" windowWidth="29040" windowHeight="15720" xr2:uid="{42D8DD84-288A-4D64-96D7-B850E5646960}"/>
  </bookViews>
  <sheets>
    <sheet name="Normativa" sheetId="1" r:id="rId1"/>
    <sheet name="RIF dal web solo per check" sheetId="2" state="hidden" r:id="rId2"/>
    <sheet name="Elab. elasticità" sheetId="4" state="hidden" r:id="rId3"/>
    <sheet name="Elab. elasticità alt." sheetId="7" state="hidden" r:id="rId4"/>
    <sheet name="Elab. elasticità alt. (2)" sheetId="25" state="hidden" r:id="rId5"/>
    <sheet name="Elab. elasticità alt. (3)" sheetId="26" state="hidden" r:id="rId6"/>
    <sheet name="dati da INPS" sheetId="5" state="hidden" r:id="rId7"/>
    <sheet name="Fattri cumul." sheetId="9" state="hidden" r:id="rId8"/>
    <sheet name="per Tab2. 2" sheetId="10" state="hidden" r:id="rId9"/>
    <sheet name="TM" sheetId="11" state="hidden" r:id="rId10"/>
    <sheet name="WHITEBOARD" sheetId="12" state="hidden" r:id="rId11"/>
    <sheet name="DECORRENZA" sheetId="14" state="hidden" r:id="rId12"/>
    <sheet name="DECORRENZA (2)" sheetId="15" state="hidden" r:id="rId13"/>
    <sheet name="DECORRENZA (6)" sheetId="23" state="hidden" r:id="rId14"/>
    <sheet name="DECORRENZA (3)" sheetId="17" state="hidden" r:id="rId15"/>
    <sheet name="DECORRENZA (4)" sheetId="20" state="hidden" r:id="rId16"/>
    <sheet name="DECORRENZA (5)" sheetId="21" state="hidden" r:id="rId17"/>
    <sheet name="DECORRENZA (7)" sheetId="24" state="hidden" r:id="rId18"/>
    <sheet name="RETR" sheetId="22" state="hidden" r:id="rId19"/>
    <sheet name="Elab. elasticità (2)" sheetId="6" state="hidden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2" i="4" l="1"/>
  <c r="AW45" i="4"/>
  <c r="AU42" i="26"/>
  <c r="AV45" i="26"/>
  <c r="T26" i="9"/>
  <c r="T25" i="9"/>
  <c r="T25" i="4"/>
  <c r="T37" i="4"/>
  <c r="N40" i="12"/>
  <c r="AQ45" i="25"/>
  <c r="AQ46" i="25" s="1"/>
  <c r="AV50" i="4"/>
  <c r="AU50" i="26"/>
  <c r="AV50" i="26"/>
  <c r="AT50" i="26"/>
  <c r="AS50" i="26"/>
  <c r="AR50" i="26"/>
  <c r="Z42" i="26"/>
  <c r="AJ40" i="26"/>
  <c r="AJ49" i="26" s="1"/>
  <c r="AI40" i="26"/>
  <c r="AI49" i="26" s="1"/>
  <c r="AH40" i="26"/>
  <c r="AH49" i="26" s="1"/>
  <c r="AG40" i="26"/>
  <c r="AG49" i="26" s="1"/>
  <c r="AF40" i="26"/>
  <c r="AF42" i="26" s="1"/>
  <c r="AE40" i="26"/>
  <c r="AE42" i="26" s="1"/>
  <c r="AD40" i="26"/>
  <c r="AD42" i="26" s="1"/>
  <c r="AC40" i="26"/>
  <c r="AC42" i="26" s="1"/>
  <c r="AB40" i="26"/>
  <c r="AB49" i="26" s="1"/>
  <c r="AA40" i="26"/>
  <c r="AA49" i="26" s="1"/>
  <c r="Z40" i="26"/>
  <c r="Z49" i="26" s="1"/>
  <c r="Y40" i="26"/>
  <c r="Y49" i="26" s="1"/>
  <c r="X40" i="26"/>
  <c r="X42" i="26" s="1"/>
  <c r="W40" i="26"/>
  <c r="W42" i="26" s="1"/>
  <c r="V40" i="26"/>
  <c r="V42" i="26" s="1"/>
  <c r="U40" i="26"/>
  <c r="U42" i="26" s="1"/>
  <c r="T40" i="26"/>
  <c r="T49" i="26" s="1"/>
  <c r="AM34" i="26"/>
  <c r="AD34" i="26"/>
  <c r="AC34" i="26"/>
  <c r="AA34" i="26"/>
  <c r="AX32" i="26"/>
  <c r="AQ32" i="26"/>
  <c r="AP32" i="26"/>
  <c r="AA32" i="26"/>
  <c r="X32" i="26"/>
  <c r="AW30" i="26"/>
  <c r="AV30" i="26"/>
  <c r="AL30" i="26"/>
  <c r="AF30" i="26"/>
  <c r="AD30" i="26"/>
  <c r="Y30" i="26"/>
  <c r="U29" i="26"/>
  <c r="AV28" i="26"/>
  <c r="AF28" i="26"/>
  <c r="AE28" i="26"/>
  <c r="AK27" i="26"/>
  <c r="AC27" i="26"/>
  <c r="U27" i="26"/>
  <c r="U25" i="26"/>
  <c r="K22" i="26"/>
  <c r="I22" i="26"/>
  <c r="K21" i="26"/>
  <c r="AV35" i="26" s="1"/>
  <c r="I21" i="26"/>
  <c r="K20" i="26"/>
  <c r="AT34" i="26" s="1"/>
  <c r="I20" i="26"/>
  <c r="K19" i="26"/>
  <c r="AR33" i="26" s="1"/>
  <c r="J19" i="26"/>
  <c r="I19" i="26"/>
  <c r="K18" i="26"/>
  <c r="AW32" i="26" s="1"/>
  <c r="I18" i="26"/>
  <c r="K17" i="26"/>
  <c r="AW31" i="26" s="1"/>
  <c r="I17" i="26"/>
  <c r="K16" i="26"/>
  <c r="AU30" i="26" s="1"/>
  <c r="I16" i="26"/>
  <c r="K15" i="26"/>
  <c r="AU29" i="26" s="1"/>
  <c r="I15" i="26"/>
  <c r="J17" i="26" s="1"/>
  <c r="K14" i="26"/>
  <c r="AT28" i="26" s="1"/>
  <c r="I14" i="26"/>
  <c r="K13" i="26"/>
  <c r="AU27" i="26" s="1"/>
  <c r="I13" i="26"/>
  <c r="K12" i="26"/>
  <c r="AT26" i="26" s="1"/>
  <c r="I12" i="26"/>
  <c r="K11" i="26"/>
  <c r="AU25" i="26" s="1"/>
  <c r="I11" i="26"/>
  <c r="J21" i="26" s="1"/>
  <c r="AV40" i="7"/>
  <c r="AU37" i="25"/>
  <c r="AU37" i="4"/>
  <c r="AV50" i="25"/>
  <c r="AU50" i="25"/>
  <c r="AT50" i="25"/>
  <c r="AS50" i="25"/>
  <c r="AR50" i="25"/>
  <c r="AO49" i="25"/>
  <c r="AC49" i="25"/>
  <c r="W49" i="25"/>
  <c r="AR42" i="25"/>
  <c r="AS45" i="25" s="1"/>
  <c r="AT40" i="25"/>
  <c r="AT49" i="25" s="1"/>
  <c r="AS40" i="25"/>
  <c r="AS42" i="25" s="1"/>
  <c r="AT45" i="25" s="1"/>
  <c r="AR40" i="25"/>
  <c r="AR49" i="25" s="1"/>
  <c r="AQ40" i="25"/>
  <c r="AQ42" i="25" s="1"/>
  <c r="AR45" i="25" s="1"/>
  <c r="AP40" i="25"/>
  <c r="AP42" i="25" s="1"/>
  <c r="AO40" i="25"/>
  <c r="AO42" i="25" s="1"/>
  <c r="AP45" i="25" s="1"/>
  <c r="AN40" i="25"/>
  <c r="AN49" i="25" s="1"/>
  <c r="AM40" i="25"/>
  <c r="AM42" i="25" s="1"/>
  <c r="AL40" i="25"/>
  <c r="AL49" i="25" s="1"/>
  <c r="AK40" i="25"/>
  <c r="AK42" i="25" s="1"/>
  <c r="AJ40" i="25"/>
  <c r="AJ42" i="25" s="1"/>
  <c r="AI40" i="25"/>
  <c r="AI42" i="25" s="1"/>
  <c r="AH40" i="25"/>
  <c r="AH49" i="25" s="1"/>
  <c r="AG40" i="25"/>
  <c r="AG42" i="25" s="1"/>
  <c r="AF40" i="25"/>
  <c r="AF49" i="25" s="1"/>
  <c r="AE40" i="25"/>
  <c r="AE42" i="25" s="1"/>
  <c r="AD40" i="25"/>
  <c r="AD42" i="25" s="1"/>
  <c r="AC40" i="25"/>
  <c r="AC42" i="25" s="1"/>
  <c r="AB40" i="25"/>
  <c r="AB49" i="25" s="1"/>
  <c r="AA40" i="25"/>
  <c r="AA42" i="25" s="1"/>
  <c r="Z40" i="25"/>
  <c r="Z49" i="25" s="1"/>
  <c r="Y40" i="25"/>
  <c r="Y42" i="25" s="1"/>
  <c r="X40" i="25"/>
  <c r="X42" i="25" s="1"/>
  <c r="W40" i="25"/>
  <c r="W42" i="25" s="1"/>
  <c r="V40" i="25"/>
  <c r="V49" i="25" s="1"/>
  <c r="U40" i="25"/>
  <c r="U42" i="25" s="1"/>
  <c r="T40" i="25"/>
  <c r="T49" i="25" s="1"/>
  <c r="AY35" i="25"/>
  <c r="AS35" i="25"/>
  <c r="AM35" i="25"/>
  <c r="AF35" i="25"/>
  <c r="AS34" i="25"/>
  <c r="AY32" i="25"/>
  <c r="AM32" i="25"/>
  <c r="AG32" i="25"/>
  <c r="AA32" i="25"/>
  <c r="T32" i="25"/>
  <c r="AB31" i="25"/>
  <c r="AV29" i="25"/>
  <c r="AP29" i="25"/>
  <c r="AJ29" i="25"/>
  <c r="X29" i="25"/>
  <c r="AX28" i="25"/>
  <c r="AV26" i="25"/>
  <c r="AP26" i="25"/>
  <c r="AJ26" i="25"/>
  <c r="AD26" i="25"/>
  <c r="X26" i="25"/>
  <c r="AL25" i="25"/>
  <c r="Z25" i="25"/>
  <c r="T25" i="25"/>
  <c r="K22" i="25"/>
  <c r="I22" i="25"/>
  <c r="K21" i="25"/>
  <c r="I21" i="25"/>
  <c r="K20" i="25"/>
  <c r="Z34" i="25" s="1"/>
  <c r="I20" i="25"/>
  <c r="K19" i="25"/>
  <c r="AS33" i="25" s="1"/>
  <c r="I19" i="25"/>
  <c r="K18" i="25"/>
  <c r="I18" i="25"/>
  <c r="K17" i="25"/>
  <c r="AT31" i="25" s="1"/>
  <c r="I17" i="25"/>
  <c r="K16" i="25"/>
  <c r="AC30" i="25" s="1"/>
  <c r="I16" i="25"/>
  <c r="K15" i="25"/>
  <c r="I15" i="25"/>
  <c r="K14" i="25"/>
  <c r="AF28" i="25" s="1"/>
  <c r="I14" i="25"/>
  <c r="K13" i="25"/>
  <c r="I13" i="25"/>
  <c r="L12" i="25"/>
  <c r="K12" i="25"/>
  <c r="I12" i="25"/>
  <c r="J19" i="25" s="1"/>
  <c r="L11" i="25"/>
  <c r="K11" i="25"/>
  <c r="AD25" i="25" s="1"/>
  <c r="J11" i="25"/>
  <c r="I11" i="25"/>
  <c r="AW40" i="4"/>
  <c r="AW49" i="4" s="1"/>
  <c r="AU40" i="7"/>
  <c r="AU42" i="7"/>
  <c r="AV45" i="7" s="1"/>
  <c r="AV46" i="7" s="1"/>
  <c r="AV51" i="7" s="1"/>
  <c r="I111" i="5"/>
  <c r="J187" i="5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F12" i="24" s="1"/>
  <c r="D11" i="24"/>
  <c r="C11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C12" i="23"/>
  <c r="D11" i="23"/>
  <c r="D12" i="23" s="1"/>
  <c r="E11" i="23"/>
  <c r="F11" i="23"/>
  <c r="G11" i="23"/>
  <c r="H11" i="23"/>
  <c r="I11" i="23"/>
  <c r="J11" i="23"/>
  <c r="J12" i="23" s="1"/>
  <c r="K11" i="23"/>
  <c r="L11" i="23"/>
  <c r="M11" i="23"/>
  <c r="N11" i="23"/>
  <c r="O11" i="23"/>
  <c r="P11" i="23"/>
  <c r="P12" i="23" s="1"/>
  <c r="Q11" i="23"/>
  <c r="R11" i="23"/>
  <c r="S11" i="23"/>
  <c r="T11" i="23"/>
  <c r="U11" i="23"/>
  <c r="V11" i="23"/>
  <c r="V12" i="23" s="1"/>
  <c r="W11" i="23"/>
  <c r="X11" i="23"/>
  <c r="Y11" i="23"/>
  <c r="Z11" i="23"/>
  <c r="AA11" i="23"/>
  <c r="AA12" i="23" s="1"/>
  <c r="AB11" i="23"/>
  <c r="AB12" i="23" s="1"/>
  <c r="AC11" i="23"/>
  <c r="AD11" i="23"/>
  <c r="AE11" i="23"/>
  <c r="AF11" i="23"/>
  <c r="C11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AF12" i="23"/>
  <c r="AE12" i="23"/>
  <c r="AD12" i="23"/>
  <c r="AC12" i="23"/>
  <c r="Z12" i="23"/>
  <c r="Y12" i="23"/>
  <c r="X12" i="23"/>
  <c r="W12" i="23"/>
  <c r="U12" i="23"/>
  <c r="T12" i="23"/>
  <c r="S12" i="23"/>
  <c r="R12" i="23"/>
  <c r="Q12" i="23"/>
  <c r="O12" i="23"/>
  <c r="N12" i="23"/>
  <c r="M12" i="23"/>
  <c r="L12" i="23"/>
  <c r="K12" i="23"/>
  <c r="I12" i="23"/>
  <c r="H12" i="23"/>
  <c r="G12" i="23"/>
  <c r="F12" i="23"/>
  <c r="E12" i="23"/>
  <c r="C11" i="21"/>
  <c r="H11" i="15"/>
  <c r="I11" i="15"/>
  <c r="AF11" i="15"/>
  <c r="AF12" i="15" s="1"/>
  <c r="N11" i="15"/>
  <c r="E11" i="15"/>
  <c r="C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C13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C13" i="15"/>
  <c r="I199" i="5"/>
  <c r="H198" i="5"/>
  <c r="I198" i="5"/>
  <c r="G198" i="5"/>
  <c r="H202" i="5"/>
  <c r="AT40" i="7"/>
  <c r="M111" i="5"/>
  <c r="AR50" i="4"/>
  <c r="E7" i="11"/>
  <c r="W49" i="9"/>
  <c r="AX42" i="9"/>
  <c r="U42" i="9"/>
  <c r="U52" i="9"/>
  <c r="U53" i="9"/>
  <c r="T73" i="9"/>
  <c r="V42" i="9"/>
  <c r="V53" i="9"/>
  <c r="W53" i="9" s="1"/>
  <c r="X53" i="9" s="1"/>
  <c r="Y53" i="9" s="1"/>
  <c r="Z53" i="9" s="1"/>
  <c r="AA53" i="9" s="1"/>
  <c r="AB53" i="9" s="1"/>
  <c r="AC53" i="9" s="1"/>
  <c r="AD53" i="9" s="1"/>
  <c r="AE53" i="9" s="1"/>
  <c r="AF53" i="9" s="1"/>
  <c r="AG53" i="9" s="1"/>
  <c r="AH53" i="9" s="1"/>
  <c r="AI53" i="9" s="1"/>
  <c r="AJ53" i="9" s="1"/>
  <c r="AK53" i="9" s="1"/>
  <c r="AL53" i="9" s="1"/>
  <c r="AM53" i="9" s="1"/>
  <c r="AN53" i="9" s="1"/>
  <c r="AO53" i="9" s="1"/>
  <c r="AP53" i="9" s="1"/>
  <c r="AQ53" i="9" s="1"/>
  <c r="AR53" i="9" s="1"/>
  <c r="AS53" i="9" s="1"/>
  <c r="AT53" i="9" s="1"/>
  <c r="AU53" i="9" s="1"/>
  <c r="AV53" i="9" s="1"/>
  <c r="AW53" i="9" s="1"/>
  <c r="AX53" i="9" s="1"/>
  <c r="U44" i="9"/>
  <c r="U43" i="9"/>
  <c r="V43" i="9" s="1"/>
  <c r="W43" i="9" s="1"/>
  <c r="X43" i="9" s="1"/>
  <c r="Y43" i="9" s="1"/>
  <c r="Z43" i="9" s="1"/>
  <c r="AA43" i="9" s="1"/>
  <c r="AB43" i="9" s="1"/>
  <c r="AC43" i="9" s="1"/>
  <c r="AD43" i="9" s="1"/>
  <c r="AE43" i="9" s="1"/>
  <c r="AF43" i="9" s="1"/>
  <c r="AG43" i="9" s="1"/>
  <c r="AH43" i="9" s="1"/>
  <c r="AI43" i="9" s="1"/>
  <c r="AJ43" i="9" s="1"/>
  <c r="AK43" i="9" s="1"/>
  <c r="AL43" i="9" s="1"/>
  <c r="AM43" i="9" s="1"/>
  <c r="AN43" i="9" s="1"/>
  <c r="AO43" i="9" s="1"/>
  <c r="AP43" i="9" s="1"/>
  <c r="AQ43" i="9" s="1"/>
  <c r="AR43" i="9" s="1"/>
  <c r="AS43" i="9" s="1"/>
  <c r="AT43" i="9" s="1"/>
  <c r="AU43" i="9" s="1"/>
  <c r="AV43" i="9" s="1"/>
  <c r="AW43" i="9" s="1"/>
  <c r="AX43" i="9" s="1"/>
  <c r="T49" i="7"/>
  <c r="T40" i="4"/>
  <c r="T49" i="4" s="1"/>
  <c r="U25" i="4"/>
  <c r="W28" i="4"/>
  <c r="W27" i="4"/>
  <c r="W26" i="4"/>
  <c r="W25" i="4"/>
  <c r="AK25" i="4"/>
  <c r="T29" i="9"/>
  <c r="T30" i="9"/>
  <c r="T31" i="9"/>
  <c r="T32" i="9"/>
  <c r="T33" i="9"/>
  <c r="T34" i="9"/>
  <c r="T35" i="9"/>
  <c r="AB26" i="9"/>
  <c r="AB25" i="9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D11" i="15"/>
  <c r="F11" i="15"/>
  <c r="C11" i="15"/>
  <c r="T42" i="7"/>
  <c r="Y42" i="7"/>
  <c r="U45" i="7"/>
  <c r="U46" i="7"/>
  <c r="V51" i="7"/>
  <c r="U51" i="7"/>
  <c r="T40" i="7"/>
  <c r="AI73" i="9"/>
  <c r="AV113" i="9"/>
  <c r="T83" i="9"/>
  <c r="AH73" i="9"/>
  <c r="E14" i="14"/>
  <c r="O32" i="12"/>
  <c r="N32" i="12"/>
  <c r="N34" i="12"/>
  <c r="N33" i="12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6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7" i="11"/>
  <c r="AK76" i="9"/>
  <c r="AL28" i="9"/>
  <c r="AK27" i="4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J73" i="9"/>
  <c r="AK73" i="9"/>
  <c r="AL73" i="9"/>
  <c r="AM73" i="9"/>
  <c r="AN73" i="9"/>
  <c r="AO73" i="9"/>
  <c r="AP73" i="9"/>
  <c r="AQ73" i="9"/>
  <c r="AR73" i="9"/>
  <c r="AS73" i="9"/>
  <c r="AT73" i="9"/>
  <c r="AU73" i="9"/>
  <c r="AV73" i="9"/>
  <c r="AW73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J74" i="9"/>
  <c r="AK74" i="9"/>
  <c r="AL74" i="9"/>
  <c r="AM74" i="9"/>
  <c r="AN74" i="9"/>
  <c r="AO74" i="9"/>
  <c r="AP74" i="9"/>
  <c r="AQ74" i="9"/>
  <c r="AR74" i="9"/>
  <c r="AS74" i="9"/>
  <c r="AT74" i="9"/>
  <c r="AU74" i="9"/>
  <c r="AV74" i="9"/>
  <c r="AW74" i="9"/>
  <c r="U75" i="9"/>
  <c r="V75" i="9"/>
  <c r="W75" i="9"/>
  <c r="X75" i="9"/>
  <c r="Y75" i="9"/>
  <c r="Z75" i="9"/>
  <c r="AA75" i="9"/>
  <c r="AB75" i="9"/>
  <c r="AC75" i="9"/>
  <c r="AD75" i="9"/>
  <c r="AE75" i="9"/>
  <c r="AF75" i="9"/>
  <c r="AG75" i="9"/>
  <c r="AH75" i="9"/>
  <c r="AI75" i="9"/>
  <c r="AJ75" i="9"/>
  <c r="AK75" i="9"/>
  <c r="AL75" i="9"/>
  <c r="AM75" i="9"/>
  <c r="AN75" i="9"/>
  <c r="AO75" i="9"/>
  <c r="AP75" i="9"/>
  <c r="AQ75" i="9"/>
  <c r="AR75" i="9"/>
  <c r="AS75" i="9"/>
  <c r="AT75" i="9"/>
  <c r="AU75" i="9"/>
  <c r="AV75" i="9"/>
  <c r="AW75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AJ76" i="9"/>
  <c r="AL76" i="9"/>
  <c r="AM76" i="9"/>
  <c r="AN76" i="9"/>
  <c r="AO76" i="9"/>
  <c r="AP76" i="9"/>
  <c r="AQ76" i="9"/>
  <c r="AR76" i="9"/>
  <c r="AS76" i="9"/>
  <c r="AT76" i="9"/>
  <c r="AU76" i="9"/>
  <c r="AV76" i="9"/>
  <c r="AW76" i="9"/>
  <c r="U77" i="9"/>
  <c r="V77" i="9"/>
  <c r="W77" i="9"/>
  <c r="X77" i="9"/>
  <c r="Y77" i="9"/>
  <c r="Z77" i="9"/>
  <c r="AA77" i="9"/>
  <c r="AB77" i="9"/>
  <c r="AC77" i="9"/>
  <c r="AD77" i="9"/>
  <c r="AE77" i="9"/>
  <c r="AF77" i="9"/>
  <c r="AG77" i="9"/>
  <c r="AH77" i="9"/>
  <c r="AI77" i="9"/>
  <c r="AJ77" i="9"/>
  <c r="AK77" i="9"/>
  <c r="AL77" i="9"/>
  <c r="AM77" i="9"/>
  <c r="AN77" i="9"/>
  <c r="AO77" i="9"/>
  <c r="AP77" i="9"/>
  <c r="AQ77" i="9"/>
  <c r="AR77" i="9"/>
  <c r="AS77" i="9"/>
  <c r="AT77" i="9"/>
  <c r="AU77" i="9"/>
  <c r="AV77" i="9"/>
  <c r="AW77" i="9"/>
  <c r="U78" i="9"/>
  <c r="V78" i="9"/>
  <c r="W78" i="9"/>
  <c r="X78" i="9"/>
  <c r="Y78" i="9"/>
  <c r="Z78" i="9"/>
  <c r="AA78" i="9"/>
  <c r="AB78" i="9"/>
  <c r="AC78" i="9"/>
  <c r="AD78" i="9"/>
  <c r="AE78" i="9"/>
  <c r="AF78" i="9"/>
  <c r="AG78" i="9"/>
  <c r="AH78" i="9"/>
  <c r="AI78" i="9"/>
  <c r="AJ78" i="9"/>
  <c r="AK78" i="9"/>
  <c r="AL78" i="9"/>
  <c r="AM78" i="9"/>
  <c r="AN78" i="9"/>
  <c r="AO78" i="9"/>
  <c r="AP78" i="9"/>
  <c r="AQ78" i="9"/>
  <c r="AR78" i="9"/>
  <c r="AS78" i="9"/>
  <c r="AT78" i="9"/>
  <c r="AU78" i="9"/>
  <c r="AV78" i="9"/>
  <c r="AW78" i="9"/>
  <c r="U79" i="9"/>
  <c r="V79" i="9"/>
  <c r="W79" i="9"/>
  <c r="X79" i="9"/>
  <c r="Y79" i="9"/>
  <c r="Z79" i="9"/>
  <c r="AA79" i="9"/>
  <c r="AB79" i="9"/>
  <c r="AC79" i="9"/>
  <c r="AD79" i="9"/>
  <c r="AE79" i="9"/>
  <c r="AF79" i="9"/>
  <c r="AG79" i="9"/>
  <c r="AH79" i="9"/>
  <c r="AI79" i="9"/>
  <c r="AJ79" i="9"/>
  <c r="AK79" i="9"/>
  <c r="AL79" i="9"/>
  <c r="AM79" i="9"/>
  <c r="AN79" i="9"/>
  <c r="AO79" i="9"/>
  <c r="AP79" i="9"/>
  <c r="AQ79" i="9"/>
  <c r="AR79" i="9"/>
  <c r="AS79" i="9"/>
  <c r="AT79" i="9"/>
  <c r="AU79" i="9"/>
  <c r="AV79" i="9"/>
  <c r="AW79" i="9"/>
  <c r="U80" i="9"/>
  <c r="V80" i="9"/>
  <c r="W80" i="9"/>
  <c r="X80" i="9"/>
  <c r="Y80" i="9"/>
  <c r="Z80" i="9"/>
  <c r="AA80" i="9"/>
  <c r="AB80" i="9"/>
  <c r="AC80" i="9"/>
  <c r="AD80" i="9"/>
  <c r="AE80" i="9"/>
  <c r="AF80" i="9"/>
  <c r="AG80" i="9"/>
  <c r="AH80" i="9"/>
  <c r="AI80" i="9"/>
  <c r="AJ80" i="9"/>
  <c r="AK80" i="9"/>
  <c r="AL80" i="9"/>
  <c r="AM80" i="9"/>
  <c r="AN80" i="9"/>
  <c r="AO80" i="9"/>
  <c r="AP80" i="9"/>
  <c r="AQ80" i="9"/>
  <c r="AR80" i="9"/>
  <c r="AS80" i="9"/>
  <c r="AT80" i="9"/>
  <c r="AU80" i="9"/>
  <c r="AV80" i="9"/>
  <c r="AW80" i="9"/>
  <c r="U81" i="9"/>
  <c r="V81" i="9"/>
  <c r="W81" i="9"/>
  <c r="X81" i="9"/>
  <c r="Y81" i="9"/>
  <c r="Z81" i="9"/>
  <c r="AA81" i="9"/>
  <c r="AB81" i="9"/>
  <c r="AC81" i="9"/>
  <c r="AD81" i="9"/>
  <c r="AE81" i="9"/>
  <c r="AF81" i="9"/>
  <c r="AG81" i="9"/>
  <c r="AH81" i="9"/>
  <c r="AI81" i="9"/>
  <c r="AJ81" i="9"/>
  <c r="AK81" i="9"/>
  <c r="AL81" i="9"/>
  <c r="AM81" i="9"/>
  <c r="AN81" i="9"/>
  <c r="AO81" i="9"/>
  <c r="AP81" i="9"/>
  <c r="AQ81" i="9"/>
  <c r="AR81" i="9"/>
  <c r="AS81" i="9"/>
  <c r="AT81" i="9"/>
  <c r="AU81" i="9"/>
  <c r="AV81" i="9"/>
  <c r="AW81" i="9"/>
  <c r="U82" i="9"/>
  <c r="V82" i="9"/>
  <c r="W82" i="9"/>
  <c r="X82" i="9"/>
  <c r="Y82" i="9"/>
  <c r="Z82" i="9"/>
  <c r="AA82" i="9"/>
  <c r="AB82" i="9"/>
  <c r="AC82" i="9"/>
  <c r="AD82" i="9"/>
  <c r="AE82" i="9"/>
  <c r="AF82" i="9"/>
  <c r="AG82" i="9"/>
  <c r="AH82" i="9"/>
  <c r="AI82" i="9"/>
  <c r="AJ82" i="9"/>
  <c r="AK82" i="9"/>
  <c r="AL82" i="9"/>
  <c r="AM82" i="9"/>
  <c r="AN82" i="9"/>
  <c r="AO82" i="9"/>
  <c r="AP82" i="9"/>
  <c r="AQ82" i="9"/>
  <c r="AR82" i="9"/>
  <c r="AS82" i="9"/>
  <c r="AT82" i="9"/>
  <c r="AU82" i="9"/>
  <c r="AV82" i="9"/>
  <c r="AW82" i="9"/>
  <c r="U83" i="9"/>
  <c r="V83" i="9"/>
  <c r="W83" i="9"/>
  <c r="X83" i="9"/>
  <c r="Y83" i="9"/>
  <c r="Z83" i="9"/>
  <c r="AA83" i="9"/>
  <c r="AB83" i="9"/>
  <c r="AC83" i="9"/>
  <c r="AD83" i="9"/>
  <c r="AE83" i="9"/>
  <c r="AF83" i="9"/>
  <c r="AG83" i="9"/>
  <c r="AH83" i="9"/>
  <c r="AI83" i="9"/>
  <c r="AJ83" i="9"/>
  <c r="AK83" i="9"/>
  <c r="AL83" i="9"/>
  <c r="AM83" i="9"/>
  <c r="AN83" i="9"/>
  <c r="AO83" i="9"/>
  <c r="AP83" i="9"/>
  <c r="AQ83" i="9"/>
  <c r="AR83" i="9"/>
  <c r="AS83" i="9"/>
  <c r="AT83" i="9"/>
  <c r="AU83" i="9"/>
  <c r="AV83" i="9"/>
  <c r="AW83" i="9"/>
  <c r="V44" i="9"/>
  <c r="W44" i="9" s="1"/>
  <c r="X44" i="9" s="1"/>
  <c r="Y44" i="9" s="1"/>
  <c r="Z44" i="9" s="1"/>
  <c r="AA44" i="9" s="1"/>
  <c r="AB44" i="9" s="1"/>
  <c r="AC44" i="9" s="1"/>
  <c r="AD44" i="9" s="1"/>
  <c r="AE44" i="9" s="1"/>
  <c r="AF44" i="9" s="1"/>
  <c r="AG44" i="9" s="1"/>
  <c r="AH44" i="9" s="1"/>
  <c r="AI44" i="9" s="1"/>
  <c r="AJ44" i="9" s="1"/>
  <c r="AK44" i="9" s="1"/>
  <c r="AL44" i="9" s="1"/>
  <c r="AM44" i="9" s="1"/>
  <c r="AN44" i="9" s="1"/>
  <c r="AO44" i="9" s="1"/>
  <c r="AP44" i="9" s="1"/>
  <c r="AQ44" i="9" s="1"/>
  <c r="AR44" i="9" s="1"/>
  <c r="AS44" i="9" s="1"/>
  <c r="AT44" i="9" s="1"/>
  <c r="AU44" i="9" s="1"/>
  <c r="AV44" i="9" s="1"/>
  <c r="AW44" i="9" s="1"/>
  <c r="AX44" i="9" s="1"/>
  <c r="U45" i="9"/>
  <c r="V45" i="9" s="1"/>
  <c r="W45" i="9" s="1"/>
  <c r="X45" i="9" s="1"/>
  <c r="Y45" i="9" s="1"/>
  <c r="Z45" i="9" s="1"/>
  <c r="AA45" i="9" s="1"/>
  <c r="AB45" i="9" s="1"/>
  <c r="AC45" i="9" s="1"/>
  <c r="AD45" i="9" s="1"/>
  <c r="AE45" i="9" s="1"/>
  <c r="AF45" i="9" s="1"/>
  <c r="AG45" i="9" s="1"/>
  <c r="AH45" i="9" s="1"/>
  <c r="AI45" i="9" s="1"/>
  <c r="AJ45" i="9" s="1"/>
  <c r="AK45" i="9" s="1"/>
  <c r="AL45" i="9" s="1"/>
  <c r="AM45" i="9" s="1"/>
  <c r="AN45" i="9" s="1"/>
  <c r="AO45" i="9" s="1"/>
  <c r="AP45" i="9" s="1"/>
  <c r="AQ45" i="9" s="1"/>
  <c r="AR45" i="9" s="1"/>
  <c r="AS45" i="9" s="1"/>
  <c r="AT45" i="9" s="1"/>
  <c r="AU45" i="9" s="1"/>
  <c r="AV45" i="9" s="1"/>
  <c r="AW45" i="9" s="1"/>
  <c r="AX45" i="9" s="1"/>
  <c r="U46" i="9"/>
  <c r="V46" i="9" s="1"/>
  <c r="U47" i="9"/>
  <c r="V47" i="9" s="1"/>
  <c r="W47" i="9" s="1"/>
  <c r="X47" i="9" s="1"/>
  <c r="Y47" i="9" s="1"/>
  <c r="Z47" i="9" s="1"/>
  <c r="AA47" i="9" s="1"/>
  <c r="AB47" i="9" s="1"/>
  <c r="AC47" i="9" s="1"/>
  <c r="AD47" i="9" s="1"/>
  <c r="AE47" i="9" s="1"/>
  <c r="AF47" i="9" s="1"/>
  <c r="AG47" i="9" s="1"/>
  <c r="AH47" i="9" s="1"/>
  <c r="AI47" i="9" s="1"/>
  <c r="AJ47" i="9" s="1"/>
  <c r="AK47" i="9" s="1"/>
  <c r="AL47" i="9" s="1"/>
  <c r="AM47" i="9" s="1"/>
  <c r="AN47" i="9" s="1"/>
  <c r="AO47" i="9" s="1"/>
  <c r="AP47" i="9" s="1"/>
  <c r="AQ47" i="9" s="1"/>
  <c r="AR47" i="9" s="1"/>
  <c r="AS47" i="9" s="1"/>
  <c r="AT47" i="9" s="1"/>
  <c r="AU47" i="9" s="1"/>
  <c r="AV47" i="9" s="1"/>
  <c r="AW47" i="9" s="1"/>
  <c r="AX47" i="9" s="1"/>
  <c r="U48" i="9"/>
  <c r="V48" i="9" s="1"/>
  <c r="W48" i="9" s="1"/>
  <c r="X48" i="9" s="1"/>
  <c r="Y48" i="9" s="1"/>
  <c r="Z48" i="9" s="1"/>
  <c r="AA48" i="9" s="1"/>
  <c r="AB48" i="9" s="1"/>
  <c r="AC48" i="9" s="1"/>
  <c r="AD48" i="9" s="1"/>
  <c r="AE48" i="9" s="1"/>
  <c r="AF48" i="9" s="1"/>
  <c r="AG48" i="9" s="1"/>
  <c r="AH48" i="9" s="1"/>
  <c r="AI48" i="9" s="1"/>
  <c r="AJ48" i="9" s="1"/>
  <c r="AK48" i="9" s="1"/>
  <c r="AL48" i="9" s="1"/>
  <c r="AM48" i="9" s="1"/>
  <c r="AN48" i="9" s="1"/>
  <c r="AO48" i="9" s="1"/>
  <c r="AP48" i="9" s="1"/>
  <c r="AQ48" i="9" s="1"/>
  <c r="AR48" i="9" s="1"/>
  <c r="AS48" i="9" s="1"/>
  <c r="AT48" i="9" s="1"/>
  <c r="AU48" i="9" s="1"/>
  <c r="AV48" i="9" s="1"/>
  <c r="AW48" i="9" s="1"/>
  <c r="AX48" i="9" s="1"/>
  <c r="U49" i="9"/>
  <c r="V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AO49" i="9" s="1"/>
  <c r="AP49" i="9" s="1"/>
  <c r="AQ49" i="9" s="1"/>
  <c r="AR49" i="9" s="1"/>
  <c r="AS49" i="9" s="1"/>
  <c r="AT49" i="9" s="1"/>
  <c r="AU49" i="9" s="1"/>
  <c r="AV49" i="9" s="1"/>
  <c r="AW49" i="9" s="1"/>
  <c r="AX49" i="9" s="1"/>
  <c r="U50" i="9"/>
  <c r="V50" i="9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U51" i="9"/>
  <c r="V51" i="9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V52" i="9"/>
  <c r="T74" i="9"/>
  <c r="T75" i="9"/>
  <c r="T76" i="9"/>
  <c r="T77" i="9"/>
  <c r="T78" i="9"/>
  <c r="T79" i="9"/>
  <c r="T80" i="9"/>
  <c r="T81" i="9"/>
  <c r="T82" i="9"/>
  <c r="T25" i="7"/>
  <c r="AB110" i="10"/>
  <c r="AB111" i="10" s="1"/>
  <c r="AM35" i="9"/>
  <c r="AJ35" i="9"/>
  <c r="AO33" i="9"/>
  <c r="Y33" i="9"/>
  <c r="AQ31" i="9"/>
  <c r="AO31" i="9"/>
  <c r="AA31" i="9"/>
  <c r="Y31" i="9"/>
  <c r="AW29" i="9"/>
  <c r="AU29" i="9"/>
  <c r="AI29" i="9"/>
  <c r="AH29" i="9"/>
  <c r="AA29" i="9"/>
  <c r="Y28" i="9"/>
  <c r="AW27" i="9"/>
  <c r="AU27" i="9"/>
  <c r="AO27" i="9"/>
  <c r="AI27" i="9"/>
  <c r="AH27" i="9"/>
  <c r="AA27" i="9"/>
  <c r="W27" i="9"/>
  <c r="T27" i="9"/>
  <c r="AO26" i="9"/>
  <c r="AG26" i="9"/>
  <c r="AE26" i="9"/>
  <c r="AX25" i="9"/>
  <c r="AR25" i="9"/>
  <c r="AQ25" i="9"/>
  <c r="AJ25" i="9"/>
  <c r="AG25" i="9"/>
  <c r="AE25" i="9"/>
  <c r="Y25" i="9"/>
  <c r="I22" i="9"/>
  <c r="AT35" i="9"/>
  <c r="I21" i="9"/>
  <c r="AU34" i="9"/>
  <c r="I20" i="9"/>
  <c r="AT33" i="9"/>
  <c r="J19" i="9"/>
  <c r="I19" i="9"/>
  <c r="AU32" i="9"/>
  <c r="I18" i="9"/>
  <c r="AT31" i="9"/>
  <c r="I17" i="9"/>
  <c r="AM30" i="9"/>
  <c r="I16" i="9"/>
  <c r="AT29" i="9"/>
  <c r="I15" i="9"/>
  <c r="AB28" i="9"/>
  <c r="I14" i="9"/>
  <c r="J14" i="9"/>
  <c r="AT27" i="9"/>
  <c r="I13" i="9"/>
  <c r="AY26" i="9"/>
  <c r="I12" i="9"/>
  <c r="J15" i="9"/>
  <c r="AT25" i="9"/>
  <c r="J11" i="9"/>
  <c r="I11" i="9"/>
  <c r="J16" i="9"/>
  <c r="I202" i="5"/>
  <c r="U42" i="7"/>
  <c r="V42" i="7"/>
  <c r="W42" i="7"/>
  <c r="X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W42" i="4"/>
  <c r="X45" i="4" s="1"/>
  <c r="X46" i="4" s="1"/>
  <c r="X51" i="4" s="1"/>
  <c r="Z42" i="4"/>
  <c r="AA45" i="4" s="1"/>
  <c r="AA46" i="4" s="1"/>
  <c r="AA51" i="4" s="1"/>
  <c r="AU42" i="4"/>
  <c r="AV45" i="4" s="1"/>
  <c r="AV46" i="4" s="1"/>
  <c r="AV51" i="4" s="1"/>
  <c r="AW42" i="4"/>
  <c r="AX45" i="4" s="1"/>
  <c r="AX46" i="4" s="1"/>
  <c r="AX51" i="4" s="1"/>
  <c r="J200" i="5"/>
  <c r="J199" i="5"/>
  <c r="P187" i="5"/>
  <c r="N187" i="5"/>
  <c r="L187" i="5"/>
  <c r="AV50" i="7"/>
  <c r="AU50" i="7"/>
  <c r="AT50" i="7"/>
  <c r="AS50" i="7"/>
  <c r="AR50" i="7"/>
  <c r="AS49" i="7"/>
  <c r="AR49" i="7"/>
  <c r="AQ49" i="7"/>
  <c r="AK49" i="7"/>
  <c r="AJ49" i="7"/>
  <c r="AI49" i="7"/>
  <c r="AC49" i="7"/>
  <c r="AB49" i="7"/>
  <c r="AA49" i="7"/>
  <c r="U49" i="7"/>
  <c r="AS40" i="7"/>
  <c r="AR40" i="7"/>
  <c r="AQ40" i="7"/>
  <c r="AP40" i="7"/>
  <c r="AO40" i="7"/>
  <c r="AO49" i="7"/>
  <c r="AN40" i="7"/>
  <c r="AM40" i="7"/>
  <c r="AL40" i="7"/>
  <c r="AK40" i="7"/>
  <c r="AJ40" i="7"/>
  <c r="AI40" i="7"/>
  <c r="AH40" i="7"/>
  <c r="AG40" i="7"/>
  <c r="AG49" i="7"/>
  <c r="AF40" i="7"/>
  <c r="AE40" i="7"/>
  <c r="AD40" i="7"/>
  <c r="AC40" i="7"/>
  <c r="AB40" i="7"/>
  <c r="AA40" i="7"/>
  <c r="Z40" i="7"/>
  <c r="Y40" i="7"/>
  <c r="Y49" i="7"/>
  <c r="X40" i="7"/>
  <c r="W40" i="7"/>
  <c r="V40" i="7"/>
  <c r="U40" i="7"/>
  <c r="AX35" i="7"/>
  <c r="AP35" i="7"/>
  <c r="AH35" i="7"/>
  <c r="Z35" i="7"/>
  <c r="AX34" i="7"/>
  <c r="AP34" i="7"/>
  <c r="AH34" i="7"/>
  <c r="Z34" i="7"/>
  <c r="AX33" i="7"/>
  <c r="AP33" i="7"/>
  <c r="AH33" i="7"/>
  <c r="Z33" i="7"/>
  <c r="AX32" i="7"/>
  <c r="AP32" i="7"/>
  <c r="AH32" i="7"/>
  <c r="AF32" i="7"/>
  <c r="Z32" i="7"/>
  <c r="X32" i="7"/>
  <c r="AX31" i="7"/>
  <c r="AP31" i="7"/>
  <c r="AH31" i="7"/>
  <c r="Z31" i="7"/>
  <c r="AX30" i="7"/>
  <c r="AV30" i="7"/>
  <c r="AP30" i="7"/>
  <c r="AN30" i="7"/>
  <c r="AH30" i="7"/>
  <c r="AF30" i="7"/>
  <c r="Z30" i="7"/>
  <c r="X30" i="7"/>
  <c r="AX29" i="7"/>
  <c r="AP29" i="7"/>
  <c r="AH29" i="7"/>
  <c r="Z29" i="7"/>
  <c r="AY28" i="7"/>
  <c r="AX28" i="7"/>
  <c r="AV28" i="7"/>
  <c r="AQ28" i="7"/>
  <c r="AP28" i="7"/>
  <c r="AN28" i="7"/>
  <c r="AI28" i="7"/>
  <c r="AH28" i="7"/>
  <c r="AF28" i="7"/>
  <c r="AA28" i="7"/>
  <c r="Z28" i="7"/>
  <c r="X28" i="7"/>
  <c r="AX27" i="7"/>
  <c r="AP27" i="7"/>
  <c r="AH27" i="7"/>
  <c r="Z27" i="7"/>
  <c r="AY26" i="7"/>
  <c r="AX26" i="7"/>
  <c r="AV26" i="7"/>
  <c r="AQ26" i="7"/>
  <c r="AP26" i="7"/>
  <c r="AN26" i="7"/>
  <c r="AI26" i="7"/>
  <c r="AH26" i="7"/>
  <c r="AF26" i="7"/>
  <c r="AA26" i="7"/>
  <c r="Z26" i="7"/>
  <c r="X26" i="7"/>
  <c r="AX25" i="7"/>
  <c r="AX37" i="7"/>
  <c r="AP25" i="7"/>
  <c r="AP37" i="7"/>
  <c r="AH25" i="7"/>
  <c r="AH37" i="7"/>
  <c r="Z25" i="7"/>
  <c r="Z37" i="7"/>
  <c r="K22" i="7"/>
  <c r="I22" i="7"/>
  <c r="K21" i="7"/>
  <c r="AT35" i="7"/>
  <c r="I21" i="7"/>
  <c r="K20" i="7"/>
  <c r="AT34" i="7"/>
  <c r="I20" i="7"/>
  <c r="K19" i="7"/>
  <c r="AT33" i="7"/>
  <c r="I19" i="7"/>
  <c r="K18" i="7"/>
  <c r="AT32" i="7"/>
  <c r="I18" i="7"/>
  <c r="K17" i="7"/>
  <c r="AT31" i="7"/>
  <c r="I17" i="7"/>
  <c r="K16" i="7"/>
  <c r="AT30" i="7"/>
  <c r="I16" i="7"/>
  <c r="K15" i="7"/>
  <c r="AT29" i="7"/>
  <c r="I15" i="7"/>
  <c r="K14" i="7"/>
  <c r="AT28" i="7"/>
  <c r="I14" i="7"/>
  <c r="K13" i="7"/>
  <c r="AT27" i="7"/>
  <c r="I13" i="7"/>
  <c r="K12" i="7"/>
  <c r="AT26" i="7"/>
  <c r="I12" i="7"/>
  <c r="J20" i="7"/>
  <c r="K11" i="7"/>
  <c r="AT25" i="7"/>
  <c r="J11" i="7"/>
  <c r="I11" i="7"/>
  <c r="J21" i="7"/>
  <c r="W49" i="4"/>
  <c r="Z49" i="4"/>
  <c r="AC49" i="4"/>
  <c r="AF49" i="4"/>
  <c r="AI49" i="4"/>
  <c r="AL49" i="4"/>
  <c r="AO49" i="4"/>
  <c r="AR49" i="4"/>
  <c r="AU49" i="4"/>
  <c r="AS50" i="4"/>
  <c r="AT50" i="4"/>
  <c r="AU50" i="4"/>
  <c r="AR41" i="6"/>
  <c r="AJ41" i="6"/>
  <c r="AB41" i="6"/>
  <c r="T41" i="6"/>
  <c r="AW40" i="6"/>
  <c r="AW41" i="6"/>
  <c r="AV40" i="6"/>
  <c r="AV41" i="6"/>
  <c r="AU40" i="6"/>
  <c r="AU41" i="6"/>
  <c r="AT40" i="6"/>
  <c r="AT41" i="6"/>
  <c r="AS40" i="6"/>
  <c r="AS41" i="6"/>
  <c r="AR40" i="6"/>
  <c r="AQ40" i="6"/>
  <c r="AQ41" i="6"/>
  <c r="AP40" i="6"/>
  <c r="AP41" i="6"/>
  <c r="AO40" i="6"/>
  <c r="AO41" i="6"/>
  <c r="AN40" i="6"/>
  <c r="AN41" i="6"/>
  <c r="AM40" i="6"/>
  <c r="AM41" i="6"/>
  <c r="AL40" i="6"/>
  <c r="AL41" i="6"/>
  <c r="AK40" i="6"/>
  <c r="AK41" i="6"/>
  <c r="AJ40" i="6"/>
  <c r="AI40" i="6"/>
  <c r="AI41" i="6"/>
  <c r="AH40" i="6"/>
  <c r="AH41" i="6"/>
  <c r="AG40" i="6"/>
  <c r="AG41" i="6"/>
  <c r="AF40" i="6"/>
  <c r="AF41" i="6"/>
  <c r="AE40" i="6"/>
  <c r="AE41" i="6"/>
  <c r="AD40" i="6"/>
  <c r="AD41" i="6"/>
  <c r="AC40" i="6"/>
  <c r="AC41" i="6"/>
  <c r="AB40" i="6"/>
  <c r="AA40" i="6"/>
  <c r="AA41" i="6"/>
  <c r="Z40" i="6"/>
  <c r="Z41" i="6"/>
  <c r="Y40" i="6"/>
  <c r="Y41" i="6"/>
  <c r="X40" i="6"/>
  <c r="X41" i="6"/>
  <c r="W40" i="6"/>
  <c r="W41" i="6"/>
  <c r="V40" i="6"/>
  <c r="V41" i="6"/>
  <c r="U40" i="6"/>
  <c r="U41" i="6"/>
  <c r="T40" i="6"/>
  <c r="AY37" i="6"/>
  <c r="AY35" i="6"/>
  <c r="AR35" i="6"/>
  <c r="AQ35" i="6"/>
  <c r="AJ35" i="6"/>
  <c r="AI35" i="6"/>
  <c r="AB35" i="6"/>
  <c r="AA35" i="6"/>
  <c r="T35" i="6"/>
  <c r="AY34" i="6"/>
  <c r="AQ34" i="6"/>
  <c r="AI34" i="6"/>
  <c r="AA34" i="6"/>
  <c r="AY33" i="6"/>
  <c r="AR33" i="6"/>
  <c r="AQ33" i="6"/>
  <c r="AJ33" i="6"/>
  <c r="AI33" i="6"/>
  <c r="AB33" i="6"/>
  <c r="AA33" i="6"/>
  <c r="T33" i="6"/>
  <c r="AY32" i="6"/>
  <c r="AQ32" i="6"/>
  <c r="AI32" i="6"/>
  <c r="AA32" i="6"/>
  <c r="AY31" i="6"/>
  <c r="AR31" i="6"/>
  <c r="AQ31" i="6"/>
  <c r="AJ31" i="6"/>
  <c r="AI31" i="6"/>
  <c r="AB31" i="6"/>
  <c r="AA31" i="6"/>
  <c r="T31" i="6"/>
  <c r="AY30" i="6"/>
  <c r="AQ30" i="6"/>
  <c r="AI30" i="6"/>
  <c r="AA30" i="6"/>
  <c r="AY29" i="6"/>
  <c r="AR29" i="6"/>
  <c r="AQ29" i="6"/>
  <c r="AJ29" i="6"/>
  <c r="AI29" i="6"/>
  <c r="AB29" i="6"/>
  <c r="AA29" i="6"/>
  <c r="T29" i="6"/>
  <c r="AY28" i="6"/>
  <c r="AQ28" i="6"/>
  <c r="AI28" i="6"/>
  <c r="AA28" i="6"/>
  <c r="AY27" i="6"/>
  <c r="AR27" i="6"/>
  <c r="AQ27" i="6"/>
  <c r="AJ27" i="6"/>
  <c r="AI27" i="6"/>
  <c r="AB27" i="6"/>
  <c r="AA27" i="6"/>
  <c r="T27" i="6"/>
  <c r="AY26" i="6"/>
  <c r="AQ26" i="6"/>
  <c r="AI26" i="6"/>
  <c r="AA26" i="6"/>
  <c r="AY25" i="6"/>
  <c r="AR25" i="6"/>
  <c r="AQ25" i="6"/>
  <c r="AQ37" i="6"/>
  <c r="AJ25" i="6"/>
  <c r="AI25" i="6"/>
  <c r="AI37" i="6"/>
  <c r="AB25" i="6"/>
  <c r="AA25" i="6"/>
  <c r="AA37" i="6"/>
  <c r="T25" i="6"/>
  <c r="K22" i="6"/>
  <c r="I22" i="6"/>
  <c r="K21" i="6"/>
  <c r="AU35" i="6"/>
  <c r="I21" i="6"/>
  <c r="K20" i="6"/>
  <c r="AU34" i="6"/>
  <c r="J20" i="6"/>
  <c r="I20" i="6"/>
  <c r="K19" i="6"/>
  <c r="AU33" i="6"/>
  <c r="I19" i="6"/>
  <c r="K18" i="6"/>
  <c r="AU32" i="6"/>
  <c r="J18" i="6"/>
  <c r="I18" i="6"/>
  <c r="K17" i="6"/>
  <c r="AU31" i="6"/>
  <c r="I17" i="6"/>
  <c r="K16" i="6"/>
  <c r="AU30" i="6"/>
  <c r="J16" i="6"/>
  <c r="I16" i="6"/>
  <c r="K15" i="6"/>
  <c r="AU29" i="6"/>
  <c r="I15" i="6"/>
  <c r="K14" i="6"/>
  <c r="AU28" i="6"/>
  <c r="J14" i="6"/>
  <c r="I14" i="6"/>
  <c r="K13" i="6"/>
  <c r="AU27" i="6"/>
  <c r="I13" i="6"/>
  <c r="K12" i="6"/>
  <c r="AU26" i="6"/>
  <c r="J12" i="6"/>
  <c r="I12" i="6"/>
  <c r="L11" i="6"/>
  <c r="K11" i="6"/>
  <c r="AU25" i="6"/>
  <c r="J11" i="6"/>
  <c r="I11" i="6"/>
  <c r="J21" i="6"/>
  <c r="J12" i="9"/>
  <c r="J17" i="9"/>
  <c r="AH25" i="9"/>
  <c r="AU25" i="9"/>
  <c r="AI26" i="9"/>
  <c r="Y27" i="9"/>
  <c r="AJ27" i="9"/>
  <c r="AX27" i="9"/>
  <c r="Y29" i="9"/>
  <c r="AJ29" i="9"/>
  <c r="AX29" i="9"/>
  <c r="AB31" i="9"/>
  <c r="AR31" i="9"/>
  <c r="AB33" i="9"/>
  <c r="AR33" i="9"/>
  <c r="Y35" i="9"/>
  <c r="AO35" i="9"/>
  <c r="J20" i="9"/>
  <c r="W25" i="9"/>
  <c r="AI25" i="9"/>
  <c r="AW25" i="9"/>
  <c r="AJ26" i="9"/>
  <c r="Z27" i="9"/>
  <c r="AM27" i="9"/>
  <c r="AY27" i="9"/>
  <c r="Z29" i="9"/>
  <c r="AM29" i="9"/>
  <c r="AY29" i="9"/>
  <c r="AE31" i="9"/>
  <c r="AU31" i="9"/>
  <c r="AE33" i="9"/>
  <c r="AU33" i="9"/>
  <c r="AA35" i="9"/>
  <c r="AQ35" i="9"/>
  <c r="AO29" i="9"/>
  <c r="AG30" i="9"/>
  <c r="AG31" i="9"/>
  <c r="AW31" i="9"/>
  <c r="AW33" i="9"/>
  <c r="AB35" i="9"/>
  <c r="AR35" i="9"/>
  <c r="J13" i="9"/>
  <c r="J18" i="9"/>
  <c r="Z25" i="9"/>
  <c r="AM25" i="9"/>
  <c r="AY25" i="9"/>
  <c r="AU26" i="9"/>
  <c r="AB27" i="9"/>
  <c r="AP27" i="9"/>
  <c r="AA28" i="9"/>
  <c r="AB29" i="9"/>
  <c r="AP29" i="9"/>
  <c r="AW30" i="9"/>
  <c r="AI31" i="9"/>
  <c r="AY31" i="9"/>
  <c r="AI33" i="9"/>
  <c r="AY33" i="9"/>
  <c r="AE35" i="9"/>
  <c r="AU35" i="9"/>
  <c r="AQ33" i="9"/>
  <c r="J21" i="9"/>
  <c r="AA25" i="9"/>
  <c r="AO25" i="9"/>
  <c r="AW26" i="9"/>
  <c r="AE27" i="9"/>
  <c r="AQ27" i="9"/>
  <c r="AO28" i="9"/>
  <c r="AE29" i="9"/>
  <c r="AQ29" i="9"/>
  <c r="AJ31" i="9"/>
  <c r="AJ33" i="9"/>
  <c r="AQ34" i="9"/>
  <c r="AW35" i="9"/>
  <c r="AA33" i="9"/>
  <c r="AP25" i="9"/>
  <c r="Y26" i="9"/>
  <c r="AG27" i="9"/>
  <c r="AR27" i="9"/>
  <c r="AQ28" i="9"/>
  <c r="AG29" i="9"/>
  <c r="AR29" i="9"/>
  <c r="AM31" i="9"/>
  <c r="AM33" i="9"/>
  <c r="AI35" i="9"/>
  <c r="AY35" i="9"/>
  <c r="AI30" i="9"/>
  <c r="AT34" i="9"/>
  <c r="AL34" i="9"/>
  <c r="AD34" i="9"/>
  <c r="V34" i="9"/>
  <c r="AS34" i="9"/>
  <c r="AK34" i="9"/>
  <c r="AC34" i="9"/>
  <c r="U34" i="9"/>
  <c r="AR34" i="9"/>
  <c r="AJ34" i="9"/>
  <c r="AB34" i="9"/>
  <c r="AX34" i="9"/>
  <c r="AP34" i="9"/>
  <c r="AH34" i="9"/>
  <c r="Z34" i="9"/>
  <c r="AW34" i="9"/>
  <c r="AO34" i="9"/>
  <c r="AV34" i="9"/>
  <c r="AN34" i="9"/>
  <c r="AF34" i="9"/>
  <c r="X34" i="9"/>
  <c r="W28" i="9"/>
  <c r="AM28" i="9"/>
  <c r="AE30" i="9"/>
  <c r="AU30" i="9"/>
  <c r="AE32" i="9"/>
  <c r="AM34" i="9"/>
  <c r="AT32" i="9"/>
  <c r="AL32" i="9"/>
  <c r="AD32" i="9"/>
  <c r="V32" i="9"/>
  <c r="AS32" i="9"/>
  <c r="AK32" i="9"/>
  <c r="AC32" i="9"/>
  <c r="U32" i="9"/>
  <c r="AX32" i="9"/>
  <c r="AP32" i="9"/>
  <c r="AH32" i="9"/>
  <c r="Z32" i="9"/>
  <c r="AV32" i="9"/>
  <c r="AN32" i="9"/>
  <c r="AF32" i="9"/>
  <c r="X32" i="9"/>
  <c r="AJ30" i="9"/>
  <c r="AJ32" i="9"/>
  <c r="AY34" i="9"/>
  <c r="AI32" i="9"/>
  <c r="AT28" i="9"/>
  <c r="AD28" i="9"/>
  <c r="V28" i="9"/>
  <c r="AS28" i="9"/>
  <c r="AK28" i="9"/>
  <c r="AC28" i="9"/>
  <c r="U28" i="9"/>
  <c r="AX28" i="9"/>
  <c r="AP28" i="9"/>
  <c r="AH28" i="9"/>
  <c r="Z28" i="9"/>
  <c r="AV28" i="9"/>
  <c r="AN28" i="9"/>
  <c r="AF28" i="9"/>
  <c r="X28" i="9"/>
  <c r="AT26" i="9"/>
  <c r="AL26" i="9"/>
  <c r="AD26" i="9"/>
  <c r="V26" i="9"/>
  <c r="AS26" i="9"/>
  <c r="AK26" i="9"/>
  <c r="AC26" i="9"/>
  <c r="U26" i="9"/>
  <c r="AX26" i="9"/>
  <c r="AP26" i="9"/>
  <c r="AH26" i="9"/>
  <c r="Z26" i="9"/>
  <c r="AV26" i="9"/>
  <c r="AN26" i="9"/>
  <c r="AF26" i="9"/>
  <c r="X26" i="9"/>
  <c r="W26" i="9"/>
  <c r="AM26" i="9"/>
  <c r="AE28" i="9"/>
  <c r="AU28" i="9"/>
  <c r="AM32" i="9"/>
  <c r="Y34" i="9"/>
  <c r="AW32" i="9"/>
  <c r="AT30" i="9"/>
  <c r="AL30" i="9"/>
  <c r="AD30" i="9"/>
  <c r="V30" i="9"/>
  <c r="AS30" i="9"/>
  <c r="AK30" i="9"/>
  <c r="AC30" i="9"/>
  <c r="U30" i="9"/>
  <c r="AX30" i="9"/>
  <c r="AP30" i="9"/>
  <c r="AH30" i="9"/>
  <c r="Z30" i="9"/>
  <c r="AV30" i="9"/>
  <c r="AN30" i="9"/>
  <c r="AF30" i="9"/>
  <c r="X30" i="9"/>
  <c r="AY32" i="9"/>
  <c r="AG28" i="9"/>
  <c r="AW28" i="9"/>
  <c r="Y30" i="9"/>
  <c r="AO30" i="9"/>
  <c r="Y32" i="9"/>
  <c r="AO32" i="9"/>
  <c r="AA34" i="9"/>
  <c r="AA26" i="9"/>
  <c r="AQ26" i="9"/>
  <c r="AI28" i="9"/>
  <c r="AY28" i="9"/>
  <c r="AA30" i="9"/>
  <c r="AQ30" i="9"/>
  <c r="AA32" i="9"/>
  <c r="AQ32" i="9"/>
  <c r="AE34" i="9"/>
  <c r="AG32" i="9"/>
  <c r="AY30" i="9"/>
  <c r="AR28" i="9"/>
  <c r="AR26" i="9"/>
  <c r="T28" i="9"/>
  <c r="AJ28" i="9"/>
  <c r="AB30" i="9"/>
  <c r="AR30" i="9"/>
  <c r="AB32" i="9"/>
  <c r="AR32" i="9"/>
  <c r="AI34" i="9"/>
  <c r="X25" i="9"/>
  <c r="AF25" i="9"/>
  <c r="AN25" i="9"/>
  <c r="AV25" i="9"/>
  <c r="X27" i="9"/>
  <c r="AF27" i="9"/>
  <c r="AN27" i="9"/>
  <c r="AV27" i="9"/>
  <c r="X29" i="9"/>
  <c r="AF29" i="9"/>
  <c r="AN29" i="9"/>
  <c r="AV29" i="9"/>
  <c r="X31" i="9"/>
  <c r="AF31" i="9"/>
  <c r="AN31" i="9"/>
  <c r="AV31" i="9"/>
  <c r="X33" i="9"/>
  <c r="AF33" i="9"/>
  <c r="AN33" i="9"/>
  <c r="AV33" i="9"/>
  <c r="X35" i="9"/>
  <c r="AF35" i="9"/>
  <c r="AN35" i="9"/>
  <c r="AV35" i="9"/>
  <c r="Z31" i="9"/>
  <c r="AH31" i="9"/>
  <c r="AP31" i="9"/>
  <c r="AX31" i="9"/>
  <c r="Z33" i="9"/>
  <c r="AH33" i="9"/>
  <c r="AP33" i="9"/>
  <c r="AX33" i="9"/>
  <c r="Z35" i="9"/>
  <c r="AH35" i="9"/>
  <c r="AP35" i="9"/>
  <c r="AX35" i="9"/>
  <c r="U25" i="9"/>
  <c r="AC25" i="9"/>
  <c r="AK25" i="9"/>
  <c r="AS25" i="9"/>
  <c r="U27" i="9"/>
  <c r="AC27" i="9"/>
  <c r="AK27" i="9"/>
  <c r="AS27" i="9"/>
  <c r="U29" i="9"/>
  <c r="AC29" i="9"/>
  <c r="AK29" i="9"/>
  <c r="AS29" i="9"/>
  <c r="U31" i="9"/>
  <c r="AC31" i="9"/>
  <c r="AK31" i="9"/>
  <c r="AS31" i="9"/>
  <c r="U33" i="9"/>
  <c r="AC33" i="9"/>
  <c r="AK33" i="9"/>
  <c r="AS33" i="9"/>
  <c r="U35" i="9"/>
  <c r="AC35" i="9"/>
  <c r="AK35" i="9"/>
  <c r="AS35" i="9"/>
  <c r="V25" i="9"/>
  <c r="AD25" i="9"/>
  <c r="AL25" i="9"/>
  <c r="V27" i="9"/>
  <c r="AD27" i="9"/>
  <c r="AL27" i="9"/>
  <c r="V29" i="9"/>
  <c r="AD29" i="9"/>
  <c r="AL29" i="9"/>
  <c r="V31" i="9"/>
  <c r="AD31" i="9"/>
  <c r="AL31" i="9"/>
  <c r="V33" i="9"/>
  <c r="AD33" i="9"/>
  <c r="AL33" i="9"/>
  <c r="V35" i="9"/>
  <c r="AD35" i="9"/>
  <c r="AL35" i="9"/>
  <c r="AT37" i="7"/>
  <c r="AT45" i="7"/>
  <c r="J13" i="7"/>
  <c r="J15" i="7"/>
  <c r="J17" i="7"/>
  <c r="J19" i="7"/>
  <c r="W25" i="7"/>
  <c r="AE25" i="7"/>
  <c r="AM25" i="7"/>
  <c r="AU25" i="7"/>
  <c r="W26" i="7"/>
  <c r="AE26" i="7"/>
  <c r="AM26" i="7"/>
  <c r="AU26" i="7"/>
  <c r="W27" i="7"/>
  <c r="AE27" i="7"/>
  <c r="AM27" i="7"/>
  <c r="AU27" i="7"/>
  <c r="W28" i="7"/>
  <c r="AE28" i="7"/>
  <c r="AM28" i="7"/>
  <c r="AU28" i="7"/>
  <c r="W29" i="7"/>
  <c r="AE29" i="7"/>
  <c r="AM29" i="7"/>
  <c r="AU29" i="7"/>
  <c r="AE30" i="7"/>
  <c r="AM30" i="7"/>
  <c r="AU30" i="7"/>
  <c r="AE31" i="7"/>
  <c r="AM31" i="7"/>
  <c r="AU31" i="7"/>
  <c r="AE32" i="7"/>
  <c r="AM32" i="7"/>
  <c r="AU32" i="7"/>
  <c r="AE33" i="7"/>
  <c r="AM33" i="7"/>
  <c r="AU33" i="7"/>
  <c r="AE34" i="7"/>
  <c r="AM34" i="7"/>
  <c r="AU34" i="7"/>
  <c r="AE35" i="7"/>
  <c r="AM35" i="7"/>
  <c r="AU35" i="7"/>
  <c r="Z45" i="7"/>
  <c r="Z46" i="7"/>
  <c r="Z51" i="7"/>
  <c r="AH45" i="7"/>
  <c r="AH46" i="7"/>
  <c r="AH51" i="7"/>
  <c r="AP45" i="7"/>
  <c r="Z49" i="7"/>
  <c r="AH49" i="7"/>
  <c r="AP49" i="7"/>
  <c r="X25" i="7"/>
  <c r="AF25" i="7"/>
  <c r="AN25" i="7"/>
  <c r="AV25" i="7"/>
  <c r="X27" i="7"/>
  <c r="AF27" i="7"/>
  <c r="AN27" i="7"/>
  <c r="AV27" i="7"/>
  <c r="X29" i="7"/>
  <c r="AF29" i="7"/>
  <c r="AN29" i="7"/>
  <c r="AV29" i="7"/>
  <c r="X31" i="7"/>
  <c r="AF31" i="7"/>
  <c r="AN31" i="7"/>
  <c r="AV31" i="7"/>
  <c r="AN32" i="7"/>
  <c r="AV32" i="7"/>
  <c r="X33" i="7"/>
  <c r="AF33" i="7"/>
  <c r="AN33" i="7"/>
  <c r="AV33" i="7"/>
  <c r="X34" i="7"/>
  <c r="AF34" i="7"/>
  <c r="AN34" i="7"/>
  <c r="AV34" i="7"/>
  <c r="X35" i="7"/>
  <c r="AF35" i="7"/>
  <c r="AN35" i="7"/>
  <c r="AV35" i="7"/>
  <c r="L11" i="7"/>
  <c r="L13" i="7"/>
  <c r="L15" i="7"/>
  <c r="L17" i="7"/>
  <c r="L19" i="7"/>
  <c r="L21" i="7"/>
  <c r="Y25" i="7"/>
  <c r="AG25" i="7"/>
  <c r="AO25" i="7"/>
  <c r="AW25" i="7"/>
  <c r="Y26" i="7"/>
  <c r="AG26" i="7"/>
  <c r="AO26" i="7"/>
  <c r="AW26" i="7"/>
  <c r="Y27" i="7"/>
  <c r="AG27" i="7"/>
  <c r="AO27" i="7"/>
  <c r="AW27" i="7"/>
  <c r="Y28" i="7"/>
  <c r="AG28" i="7"/>
  <c r="AO28" i="7"/>
  <c r="AW28" i="7"/>
  <c r="Y29" i="7"/>
  <c r="AG29" i="7"/>
  <c r="AO29" i="7"/>
  <c r="AW29" i="7"/>
  <c r="Y30" i="7"/>
  <c r="AG30" i="7"/>
  <c r="AO30" i="7"/>
  <c r="AW30" i="7"/>
  <c r="Y31" i="7"/>
  <c r="AG31" i="7"/>
  <c r="AO31" i="7"/>
  <c r="AW31" i="7"/>
  <c r="Y32" i="7"/>
  <c r="AG32" i="7"/>
  <c r="AO32" i="7"/>
  <c r="AW32" i="7"/>
  <c r="Y33" i="7"/>
  <c r="AO33" i="7"/>
  <c r="AW33" i="7"/>
  <c r="Y34" i="7"/>
  <c r="AO34" i="7"/>
  <c r="AW34" i="7"/>
  <c r="Y35" i="7"/>
  <c r="AO35" i="7"/>
  <c r="AW35" i="7"/>
  <c r="J12" i="7"/>
  <c r="J14" i="7"/>
  <c r="J16" i="7"/>
  <c r="J18" i="7"/>
  <c r="AA25" i="7"/>
  <c r="AI25" i="7"/>
  <c r="AQ25" i="7"/>
  <c r="AY25" i="7"/>
  <c r="AA27" i="7"/>
  <c r="AI27" i="7"/>
  <c r="AQ27" i="7"/>
  <c r="AY27" i="7"/>
  <c r="AA29" i="7"/>
  <c r="AI29" i="7"/>
  <c r="AQ29" i="7"/>
  <c r="AY29" i="7"/>
  <c r="AA30" i="7"/>
  <c r="AI30" i="7"/>
  <c r="AQ30" i="7"/>
  <c r="AY30" i="7"/>
  <c r="AA31" i="7"/>
  <c r="AI31" i="7"/>
  <c r="AQ31" i="7"/>
  <c r="AY31" i="7"/>
  <c r="AA32" i="7"/>
  <c r="AI32" i="7"/>
  <c r="AQ32" i="7"/>
  <c r="AY32" i="7"/>
  <c r="AA33" i="7"/>
  <c r="AI33" i="7"/>
  <c r="AQ33" i="7"/>
  <c r="AY33" i="7"/>
  <c r="AA34" i="7"/>
  <c r="AI34" i="7"/>
  <c r="AQ34" i="7"/>
  <c r="AY34" i="7"/>
  <c r="AA35" i="7"/>
  <c r="AI35" i="7"/>
  <c r="AQ35" i="7"/>
  <c r="AY35" i="7"/>
  <c r="V49" i="7"/>
  <c r="AD49" i="7"/>
  <c r="AL49" i="7"/>
  <c r="AT49" i="7"/>
  <c r="AB25" i="7"/>
  <c r="AJ25" i="7"/>
  <c r="AR25" i="7"/>
  <c r="T26" i="7"/>
  <c r="AB26" i="7"/>
  <c r="AJ26" i="7"/>
  <c r="AR26" i="7"/>
  <c r="T27" i="7"/>
  <c r="AB27" i="7"/>
  <c r="AJ27" i="7"/>
  <c r="AR27" i="7"/>
  <c r="T28" i="7"/>
  <c r="AB28" i="7"/>
  <c r="AJ28" i="7"/>
  <c r="AR28" i="7"/>
  <c r="T29" i="7"/>
  <c r="AB29" i="7"/>
  <c r="AJ29" i="7"/>
  <c r="AR29" i="7"/>
  <c r="T30" i="7"/>
  <c r="AB30" i="7"/>
  <c r="AJ30" i="7"/>
  <c r="AR30" i="7"/>
  <c r="T31" i="7"/>
  <c r="AB31" i="7"/>
  <c r="AJ31" i="7"/>
  <c r="AR31" i="7"/>
  <c r="T32" i="7"/>
  <c r="AB32" i="7"/>
  <c r="AJ32" i="7"/>
  <c r="AR32" i="7"/>
  <c r="T33" i="7"/>
  <c r="AB33" i="7"/>
  <c r="AJ33" i="7"/>
  <c r="AR33" i="7"/>
  <c r="T34" i="7"/>
  <c r="AB34" i="7"/>
  <c r="AJ34" i="7"/>
  <c r="AR34" i="7"/>
  <c r="T35" i="7"/>
  <c r="AB35" i="7"/>
  <c r="AJ35" i="7"/>
  <c r="AR35" i="7"/>
  <c r="W49" i="7"/>
  <c r="AE49" i="7"/>
  <c r="AM49" i="7"/>
  <c r="L12" i="7"/>
  <c r="L14" i="7"/>
  <c r="L16" i="7"/>
  <c r="L18" i="7"/>
  <c r="L20" i="7"/>
  <c r="U25" i="7"/>
  <c r="AC25" i="7"/>
  <c r="AK25" i="7"/>
  <c r="AS25" i="7"/>
  <c r="AS37" i="7"/>
  <c r="AS45" i="7"/>
  <c r="AS46" i="7"/>
  <c r="AS51" i="7"/>
  <c r="U26" i="7"/>
  <c r="AC26" i="7"/>
  <c r="AK26" i="7"/>
  <c r="AS26" i="7"/>
  <c r="U27" i="7"/>
  <c r="AC27" i="7"/>
  <c r="AK27" i="7"/>
  <c r="AS27" i="7"/>
  <c r="U28" i="7"/>
  <c r="AC28" i="7"/>
  <c r="AK28" i="7"/>
  <c r="AS28" i="7"/>
  <c r="U29" i="7"/>
  <c r="AC29" i="7"/>
  <c r="AK29" i="7"/>
  <c r="AS29" i="7"/>
  <c r="U30" i="7"/>
  <c r="AC30" i="7"/>
  <c r="AK30" i="7"/>
  <c r="AS30" i="7"/>
  <c r="U31" i="7"/>
  <c r="AC31" i="7"/>
  <c r="AK31" i="7"/>
  <c r="AS31" i="7"/>
  <c r="U32" i="7"/>
  <c r="AC32" i="7"/>
  <c r="AK32" i="7"/>
  <c r="AS32" i="7"/>
  <c r="U33" i="7"/>
  <c r="AC33" i="7"/>
  <c r="AK33" i="7"/>
  <c r="AS33" i="7"/>
  <c r="U34" i="7"/>
  <c r="AC34" i="7"/>
  <c r="AK34" i="7"/>
  <c r="AS34" i="7"/>
  <c r="U35" i="7"/>
  <c r="AC35" i="7"/>
  <c r="AK35" i="7"/>
  <c r="AS35" i="7"/>
  <c r="X49" i="7"/>
  <c r="AF49" i="7"/>
  <c r="AN49" i="7"/>
  <c r="V25" i="7"/>
  <c r="AD25" i="7"/>
  <c r="AL25" i="7"/>
  <c r="V26" i="7"/>
  <c r="AD26" i="7"/>
  <c r="AL26" i="7"/>
  <c r="V27" i="7"/>
  <c r="AD27" i="7"/>
  <c r="AL27" i="7"/>
  <c r="V28" i="7"/>
  <c r="AD28" i="7"/>
  <c r="AL28" i="7"/>
  <c r="V29" i="7"/>
  <c r="AD29" i="7"/>
  <c r="AL29" i="7"/>
  <c r="V30" i="7"/>
  <c r="AD30" i="7"/>
  <c r="AL30" i="7"/>
  <c r="V31" i="7"/>
  <c r="AD31" i="7"/>
  <c r="AL31" i="7"/>
  <c r="V32" i="7"/>
  <c r="AD32" i="7"/>
  <c r="AL32" i="7"/>
  <c r="V33" i="7"/>
  <c r="AD33" i="7"/>
  <c r="AL33" i="7"/>
  <c r="V34" i="7"/>
  <c r="AD34" i="7"/>
  <c r="AL34" i="7"/>
  <c r="V35" i="7"/>
  <c r="AD35" i="7"/>
  <c r="AL35" i="7"/>
  <c r="AU37" i="6"/>
  <c r="AU45" i="6"/>
  <c r="AI45" i="6"/>
  <c r="AI50" i="6"/>
  <c r="AI46" i="6"/>
  <c r="AI51" i="6"/>
  <c r="AA45" i="6"/>
  <c r="AA50" i="6"/>
  <c r="AA46" i="6"/>
  <c r="AA51" i="6"/>
  <c r="AQ45" i="6"/>
  <c r="AB28" i="6"/>
  <c r="X25" i="6"/>
  <c r="AF25" i="6"/>
  <c r="AN25" i="6"/>
  <c r="AV25" i="6"/>
  <c r="X26" i="6"/>
  <c r="AF26" i="6"/>
  <c r="AN26" i="6"/>
  <c r="AV26" i="6"/>
  <c r="X27" i="6"/>
  <c r="AF27" i="6"/>
  <c r="AN27" i="6"/>
  <c r="AV27" i="6"/>
  <c r="X28" i="6"/>
  <c r="AF28" i="6"/>
  <c r="AN28" i="6"/>
  <c r="AV28" i="6"/>
  <c r="X29" i="6"/>
  <c r="AF29" i="6"/>
  <c r="AN29" i="6"/>
  <c r="AV29" i="6"/>
  <c r="X30" i="6"/>
  <c r="AF30" i="6"/>
  <c r="AN30" i="6"/>
  <c r="AV30" i="6"/>
  <c r="X31" i="6"/>
  <c r="AF31" i="6"/>
  <c r="AN31" i="6"/>
  <c r="AV31" i="6"/>
  <c r="X32" i="6"/>
  <c r="AF32" i="6"/>
  <c r="AN32" i="6"/>
  <c r="AV32" i="6"/>
  <c r="X33" i="6"/>
  <c r="AF33" i="6"/>
  <c r="AN33" i="6"/>
  <c r="AV33" i="6"/>
  <c r="X34" i="6"/>
  <c r="AF34" i="6"/>
  <c r="AN34" i="6"/>
  <c r="AV34" i="6"/>
  <c r="X35" i="6"/>
  <c r="AF35" i="6"/>
  <c r="AN35" i="6"/>
  <c r="AV35" i="6"/>
  <c r="T26" i="6"/>
  <c r="T37" i="6"/>
  <c r="AJ32" i="6"/>
  <c r="L13" i="6"/>
  <c r="L15" i="6"/>
  <c r="L17" i="6"/>
  <c r="L19" i="6"/>
  <c r="L21" i="6"/>
  <c r="Y25" i="6"/>
  <c r="AG25" i="6"/>
  <c r="AO25" i="6"/>
  <c r="AW25" i="6"/>
  <c r="Y26" i="6"/>
  <c r="AG26" i="6"/>
  <c r="AO26" i="6"/>
  <c r="AW26" i="6"/>
  <c r="Y27" i="6"/>
  <c r="AG27" i="6"/>
  <c r="AO27" i="6"/>
  <c r="AW27" i="6"/>
  <c r="Y28" i="6"/>
  <c r="AG28" i="6"/>
  <c r="AO28" i="6"/>
  <c r="AW28" i="6"/>
  <c r="Y29" i="6"/>
  <c r="AG29" i="6"/>
  <c r="AO29" i="6"/>
  <c r="AW29" i="6"/>
  <c r="Y30" i="6"/>
  <c r="AG30" i="6"/>
  <c r="AO30" i="6"/>
  <c r="AW30" i="6"/>
  <c r="Y31" i="6"/>
  <c r="AG31" i="6"/>
  <c r="AO31" i="6"/>
  <c r="AW31" i="6"/>
  <c r="Y32" i="6"/>
  <c r="AG32" i="6"/>
  <c r="AO32" i="6"/>
  <c r="AW32" i="6"/>
  <c r="Y33" i="6"/>
  <c r="AG33" i="6"/>
  <c r="AO33" i="6"/>
  <c r="AW33" i="6"/>
  <c r="Y34" i="6"/>
  <c r="AG34" i="6"/>
  <c r="AO34" i="6"/>
  <c r="AW34" i="6"/>
  <c r="Y35" i="6"/>
  <c r="AG35" i="6"/>
  <c r="AO35" i="6"/>
  <c r="AW35" i="6"/>
  <c r="AR26" i="6"/>
  <c r="AB30" i="6"/>
  <c r="T32" i="6"/>
  <c r="Z25" i="6"/>
  <c r="AH25" i="6"/>
  <c r="AP25" i="6"/>
  <c r="AX25" i="6"/>
  <c r="Z26" i="6"/>
  <c r="AH26" i="6"/>
  <c r="AP26" i="6"/>
  <c r="AX26" i="6"/>
  <c r="Z27" i="6"/>
  <c r="AH27" i="6"/>
  <c r="AP27" i="6"/>
  <c r="AX27" i="6"/>
  <c r="Z28" i="6"/>
  <c r="AH28" i="6"/>
  <c r="AP28" i="6"/>
  <c r="AX28" i="6"/>
  <c r="Z29" i="6"/>
  <c r="AH29" i="6"/>
  <c r="AP29" i="6"/>
  <c r="AX29" i="6"/>
  <c r="Z30" i="6"/>
  <c r="AH30" i="6"/>
  <c r="AP30" i="6"/>
  <c r="AX30" i="6"/>
  <c r="Z31" i="6"/>
  <c r="AH31" i="6"/>
  <c r="AP31" i="6"/>
  <c r="AX31" i="6"/>
  <c r="Z32" i="6"/>
  <c r="AH32" i="6"/>
  <c r="AP32" i="6"/>
  <c r="AX32" i="6"/>
  <c r="Z33" i="6"/>
  <c r="AH33" i="6"/>
  <c r="AP33" i="6"/>
  <c r="AX33" i="6"/>
  <c r="Z34" i="6"/>
  <c r="AH34" i="6"/>
  <c r="AP34" i="6"/>
  <c r="AX34" i="6"/>
  <c r="Z35" i="6"/>
  <c r="AH35" i="6"/>
  <c r="AP35" i="6"/>
  <c r="AX35" i="6"/>
  <c r="AJ28" i="6"/>
  <c r="T30" i="6"/>
  <c r="AR30" i="6"/>
  <c r="T34" i="6"/>
  <c r="AR34" i="6"/>
  <c r="L12" i="6"/>
  <c r="L14" i="6"/>
  <c r="L16" i="6"/>
  <c r="L18" i="6"/>
  <c r="L20" i="6"/>
  <c r="U25" i="6"/>
  <c r="AC25" i="6"/>
  <c r="AK25" i="6"/>
  <c r="AS25" i="6"/>
  <c r="U26" i="6"/>
  <c r="AC26" i="6"/>
  <c r="AK26" i="6"/>
  <c r="AS26" i="6"/>
  <c r="U27" i="6"/>
  <c r="AC27" i="6"/>
  <c r="AK27" i="6"/>
  <c r="AS27" i="6"/>
  <c r="U28" i="6"/>
  <c r="AC28" i="6"/>
  <c r="AK28" i="6"/>
  <c r="AS28" i="6"/>
  <c r="U29" i="6"/>
  <c r="AC29" i="6"/>
  <c r="AK29" i="6"/>
  <c r="AS29" i="6"/>
  <c r="U30" i="6"/>
  <c r="AC30" i="6"/>
  <c r="AK30" i="6"/>
  <c r="AS30" i="6"/>
  <c r="U31" i="6"/>
  <c r="AC31" i="6"/>
  <c r="AK31" i="6"/>
  <c r="AS31" i="6"/>
  <c r="U32" i="6"/>
  <c r="AC32" i="6"/>
  <c r="AK32" i="6"/>
  <c r="AS32" i="6"/>
  <c r="U33" i="6"/>
  <c r="AC33" i="6"/>
  <c r="AK33" i="6"/>
  <c r="AS33" i="6"/>
  <c r="U34" i="6"/>
  <c r="AC34" i="6"/>
  <c r="AK34" i="6"/>
  <c r="AS34" i="6"/>
  <c r="U35" i="6"/>
  <c r="AC35" i="6"/>
  <c r="AK35" i="6"/>
  <c r="AS35" i="6"/>
  <c r="AJ26" i="6"/>
  <c r="AJ37" i="6"/>
  <c r="T28" i="6"/>
  <c r="AR28" i="6"/>
  <c r="AJ30" i="6"/>
  <c r="AB32" i="6"/>
  <c r="AR32" i="6"/>
  <c r="AB34" i="6"/>
  <c r="V25" i="6"/>
  <c r="AD25" i="6"/>
  <c r="AL25" i="6"/>
  <c r="AT25" i="6"/>
  <c r="V26" i="6"/>
  <c r="AD26" i="6"/>
  <c r="AL26" i="6"/>
  <c r="AT26" i="6"/>
  <c r="V27" i="6"/>
  <c r="AD27" i="6"/>
  <c r="AL27" i="6"/>
  <c r="AT27" i="6"/>
  <c r="V28" i="6"/>
  <c r="AD28" i="6"/>
  <c r="AL28" i="6"/>
  <c r="AT28" i="6"/>
  <c r="V29" i="6"/>
  <c r="AD29" i="6"/>
  <c r="AL29" i="6"/>
  <c r="AT29" i="6"/>
  <c r="V30" i="6"/>
  <c r="AD30" i="6"/>
  <c r="AL30" i="6"/>
  <c r="AT30" i="6"/>
  <c r="V31" i="6"/>
  <c r="AD31" i="6"/>
  <c r="AL31" i="6"/>
  <c r="AT31" i="6"/>
  <c r="V32" i="6"/>
  <c r="AD32" i="6"/>
  <c r="AL32" i="6"/>
  <c r="AT32" i="6"/>
  <c r="V33" i="6"/>
  <c r="AD33" i="6"/>
  <c r="AL33" i="6"/>
  <c r="AT33" i="6"/>
  <c r="V34" i="6"/>
  <c r="AD34" i="6"/>
  <c r="AL34" i="6"/>
  <c r="AT34" i="6"/>
  <c r="V35" i="6"/>
  <c r="AD35" i="6"/>
  <c r="AL35" i="6"/>
  <c r="AT35" i="6"/>
  <c r="AB26" i="6"/>
  <c r="AB37" i="6"/>
  <c r="AJ34" i="6"/>
  <c r="J13" i="6"/>
  <c r="J15" i="6"/>
  <c r="J17" i="6"/>
  <c r="J19" i="6"/>
  <c r="W25" i="6"/>
  <c r="AE25" i="6"/>
  <c r="AM25" i="6"/>
  <c r="W26" i="6"/>
  <c r="AE26" i="6"/>
  <c r="AM26" i="6"/>
  <c r="W27" i="6"/>
  <c r="AE27" i="6"/>
  <c r="AM27" i="6"/>
  <c r="W28" i="6"/>
  <c r="AE28" i="6"/>
  <c r="AM28" i="6"/>
  <c r="W29" i="6"/>
  <c r="AE29" i="6"/>
  <c r="AM29" i="6"/>
  <c r="W30" i="6"/>
  <c r="AE30" i="6"/>
  <c r="AM30" i="6"/>
  <c r="W31" i="6"/>
  <c r="AE31" i="6"/>
  <c r="AM31" i="6"/>
  <c r="W32" i="6"/>
  <c r="AE32" i="6"/>
  <c r="AM32" i="6"/>
  <c r="W33" i="6"/>
  <c r="AE33" i="6"/>
  <c r="AM33" i="6"/>
  <c r="W34" i="6"/>
  <c r="AE34" i="6"/>
  <c r="AM34" i="6"/>
  <c r="W35" i="6"/>
  <c r="AE35" i="6"/>
  <c r="AM35" i="6"/>
  <c r="U40" i="4"/>
  <c r="U49" i="4" s="1"/>
  <c r="V40" i="4"/>
  <c r="V49" i="4" s="1"/>
  <c r="W40" i="4"/>
  <c r="X40" i="4"/>
  <c r="X42" i="4" s="1"/>
  <c r="Y45" i="4" s="1"/>
  <c r="Y46" i="4" s="1"/>
  <c r="Y51" i="4" s="1"/>
  <c r="Y40" i="4"/>
  <c r="Y42" i="4" s="1"/>
  <c r="Z45" i="4" s="1"/>
  <c r="Z46" i="4" s="1"/>
  <c r="Z51" i="4" s="1"/>
  <c r="Z40" i="4"/>
  <c r="AA40" i="4"/>
  <c r="AA49" i="4" s="1"/>
  <c r="AB40" i="4"/>
  <c r="AB42" i="4" s="1"/>
  <c r="AC45" i="4" s="1"/>
  <c r="AC46" i="4" s="1"/>
  <c r="AC51" i="4" s="1"/>
  <c r="AC40" i="4"/>
  <c r="AC42" i="4" s="1"/>
  <c r="AD45" i="4" s="1"/>
  <c r="AD46" i="4" s="1"/>
  <c r="AD51" i="4" s="1"/>
  <c r="AD40" i="4"/>
  <c r="AD42" i="4" s="1"/>
  <c r="AE45" i="4" s="1"/>
  <c r="AE46" i="4" s="1"/>
  <c r="AE51" i="4" s="1"/>
  <c r="AE40" i="4"/>
  <c r="AE42" i="4" s="1"/>
  <c r="AF45" i="4" s="1"/>
  <c r="AF46" i="4" s="1"/>
  <c r="AF51" i="4" s="1"/>
  <c r="AF40" i="4"/>
  <c r="AF42" i="4" s="1"/>
  <c r="AG40" i="4"/>
  <c r="AG49" i="4" s="1"/>
  <c r="AH40" i="4"/>
  <c r="AH42" i="4" s="1"/>
  <c r="AI45" i="4" s="1"/>
  <c r="AI46" i="4" s="1"/>
  <c r="AI51" i="4" s="1"/>
  <c r="AI40" i="4"/>
  <c r="AI42" i="4" s="1"/>
  <c r="AJ45" i="4" s="1"/>
  <c r="AJ46" i="4" s="1"/>
  <c r="AJ51" i="4" s="1"/>
  <c r="AJ40" i="4"/>
  <c r="AJ42" i="4" s="1"/>
  <c r="AK45" i="4" s="1"/>
  <c r="AK46" i="4" s="1"/>
  <c r="AK51" i="4" s="1"/>
  <c r="AK40" i="4"/>
  <c r="AK42" i="4" s="1"/>
  <c r="AL45" i="4" s="1"/>
  <c r="AL46" i="4" s="1"/>
  <c r="AL51" i="4" s="1"/>
  <c r="AL40" i="4"/>
  <c r="AL42" i="4" s="1"/>
  <c r="AM45" i="4" s="1"/>
  <c r="AM46" i="4" s="1"/>
  <c r="AM51" i="4" s="1"/>
  <c r="AM40" i="4"/>
  <c r="AM49" i="4" s="1"/>
  <c r="AN40" i="4"/>
  <c r="AN49" i="4" s="1"/>
  <c r="AO40" i="4"/>
  <c r="AO42" i="4" s="1"/>
  <c r="AP45" i="4" s="1"/>
  <c r="AP40" i="4"/>
  <c r="AP49" i="4" s="1"/>
  <c r="AQ40" i="4"/>
  <c r="AQ42" i="4" s="1"/>
  <c r="AR45" i="4" s="1"/>
  <c r="AR46" i="4" s="1"/>
  <c r="AR51" i="4" s="1"/>
  <c r="AR40" i="4"/>
  <c r="AR42" i="4" s="1"/>
  <c r="AS45" i="4" s="1"/>
  <c r="AS46" i="4" s="1"/>
  <c r="AS51" i="4" s="1"/>
  <c r="AS40" i="4"/>
  <c r="AS49" i="4" s="1"/>
  <c r="AT40" i="4"/>
  <c r="AT49" i="4" s="1"/>
  <c r="AU40" i="4"/>
  <c r="AU40" i="25" s="1"/>
  <c r="AV40" i="4"/>
  <c r="AV49" i="4" s="1"/>
  <c r="J121" i="5"/>
  <c r="K121" i="5"/>
  <c r="L121" i="5"/>
  <c r="M121" i="5"/>
  <c r="I121" i="5"/>
  <c r="J111" i="5"/>
  <c r="K111" i="5"/>
  <c r="L111" i="5"/>
  <c r="AY25" i="4"/>
  <c r="AY37" i="4"/>
  <c r="AY26" i="4"/>
  <c r="AY27" i="4"/>
  <c r="AY28" i="4"/>
  <c r="AY29" i="4"/>
  <c r="AY30" i="4"/>
  <c r="AY31" i="4"/>
  <c r="AY32" i="4"/>
  <c r="AY33" i="4"/>
  <c r="AY34" i="4"/>
  <c r="AY35" i="4"/>
  <c r="AX35" i="4"/>
  <c r="AX34" i="4"/>
  <c r="AX33" i="4"/>
  <c r="AX32" i="4"/>
  <c r="AX31" i="4"/>
  <c r="AX30" i="4"/>
  <c r="AX29" i="4"/>
  <c r="AX28" i="4"/>
  <c r="AX27" i="4"/>
  <c r="AX26" i="4"/>
  <c r="AX25" i="4"/>
  <c r="AX37" i="4"/>
  <c r="V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U26" i="4"/>
  <c r="V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U27" i="4"/>
  <c r="V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U28" i="4"/>
  <c r="V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U30" i="4"/>
  <c r="V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U31" i="4"/>
  <c r="V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U32" i="4"/>
  <c r="V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U33" i="4"/>
  <c r="V33" i="4"/>
  <c r="X33" i="4"/>
  <c r="Y33" i="4"/>
  <c r="Z33" i="4"/>
  <c r="AA33" i="4"/>
  <c r="AB33" i="4"/>
  <c r="AC33" i="4"/>
  <c r="AD33" i="4"/>
  <c r="AE33" i="4"/>
  <c r="AF33" i="4"/>
  <c r="AH33" i="4"/>
  <c r="AI33" i="4"/>
  <c r="AJ33" i="4"/>
  <c r="U34" i="4"/>
  <c r="V34" i="4"/>
  <c r="X34" i="4"/>
  <c r="Y34" i="4"/>
  <c r="Z34" i="4"/>
  <c r="AA34" i="4"/>
  <c r="AB34" i="4"/>
  <c r="AC34" i="4"/>
  <c r="AD34" i="4"/>
  <c r="AE34" i="4"/>
  <c r="AF34" i="4"/>
  <c r="AH34" i="4"/>
  <c r="AI34" i="4"/>
  <c r="AJ34" i="4"/>
  <c r="U35" i="4"/>
  <c r="U37" i="4"/>
  <c r="V35" i="4"/>
  <c r="X35" i="4"/>
  <c r="Y35" i="4"/>
  <c r="Z35" i="4"/>
  <c r="AA35" i="4"/>
  <c r="AB35" i="4"/>
  <c r="AC35" i="4"/>
  <c r="AD35" i="4"/>
  <c r="AE35" i="4"/>
  <c r="AF35" i="4"/>
  <c r="AH35" i="4"/>
  <c r="AI35" i="4"/>
  <c r="AJ35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T35" i="4"/>
  <c r="T34" i="4"/>
  <c r="T33" i="4"/>
  <c r="T32" i="4"/>
  <c r="T31" i="4"/>
  <c r="T30" i="4"/>
  <c r="T29" i="4"/>
  <c r="T28" i="4"/>
  <c r="T27" i="4"/>
  <c r="T26" i="4"/>
  <c r="AU25" i="4"/>
  <c r="AW25" i="4"/>
  <c r="AW37" i="4"/>
  <c r="AW26" i="4"/>
  <c r="AW27" i="4"/>
  <c r="AW28" i="4"/>
  <c r="AW29" i="4"/>
  <c r="AW30" i="4"/>
  <c r="AW31" i="4"/>
  <c r="AW32" i="4"/>
  <c r="AW33" i="4"/>
  <c r="AW34" i="4"/>
  <c r="AW35" i="4"/>
  <c r="AV35" i="4"/>
  <c r="AV34" i="4"/>
  <c r="AV33" i="4"/>
  <c r="AV32" i="4"/>
  <c r="AV31" i="4"/>
  <c r="AV30" i="4"/>
  <c r="AV29" i="4"/>
  <c r="AV28" i="4"/>
  <c r="AV27" i="4"/>
  <c r="AV37" i="4"/>
  <c r="AV26" i="4"/>
  <c r="AV25" i="4"/>
  <c r="AL37" i="4"/>
  <c r="AM37" i="4"/>
  <c r="AN37" i="4"/>
  <c r="AO37" i="4"/>
  <c r="AP37" i="4"/>
  <c r="AQ37" i="4"/>
  <c r="AR37" i="4"/>
  <c r="AS37" i="4"/>
  <c r="AT37" i="4"/>
  <c r="AL25" i="4"/>
  <c r="AM25" i="4"/>
  <c r="AN25" i="4"/>
  <c r="AO25" i="4"/>
  <c r="AP25" i="4"/>
  <c r="AQ25" i="4"/>
  <c r="AR25" i="4"/>
  <c r="AS25" i="4"/>
  <c r="AT25" i="4"/>
  <c r="AL26" i="4"/>
  <c r="AM26" i="4"/>
  <c r="AN26" i="4"/>
  <c r="AO26" i="4"/>
  <c r="AP26" i="4"/>
  <c r="AQ26" i="4"/>
  <c r="AR26" i="4"/>
  <c r="AS26" i="4"/>
  <c r="AT26" i="4"/>
  <c r="AL27" i="4"/>
  <c r="AM27" i="4"/>
  <c r="AN27" i="4"/>
  <c r="AO27" i="4"/>
  <c r="AP27" i="4"/>
  <c r="AQ27" i="4"/>
  <c r="AR27" i="4"/>
  <c r="AS27" i="4"/>
  <c r="AT27" i="4"/>
  <c r="AL28" i="4"/>
  <c r="AM28" i="4"/>
  <c r="AN28" i="4"/>
  <c r="AO28" i="4"/>
  <c r="AP28" i="4"/>
  <c r="AQ28" i="4"/>
  <c r="AR28" i="4"/>
  <c r="AS28" i="4"/>
  <c r="AT28" i="4"/>
  <c r="AL29" i="4"/>
  <c r="AM29" i="4"/>
  <c r="AN29" i="4"/>
  <c r="AO29" i="4"/>
  <c r="AP29" i="4"/>
  <c r="AQ29" i="4"/>
  <c r="AR29" i="4"/>
  <c r="AS29" i="4"/>
  <c r="AT29" i="4"/>
  <c r="AL30" i="4"/>
  <c r="AM30" i="4"/>
  <c r="AN30" i="4"/>
  <c r="AO30" i="4"/>
  <c r="AP30" i="4"/>
  <c r="AQ30" i="4"/>
  <c r="AR30" i="4"/>
  <c r="AS30" i="4"/>
  <c r="AT30" i="4"/>
  <c r="AL31" i="4"/>
  <c r="AM31" i="4"/>
  <c r="AN31" i="4"/>
  <c r="AO31" i="4"/>
  <c r="AP31" i="4"/>
  <c r="AQ31" i="4"/>
  <c r="AR31" i="4"/>
  <c r="AS31" i="4"/>
  <c r="AT31" i="4"/>
  <c r="AL32" i="4"/>
  <c r="AM32" i="4"/>
  <c r="AN32" i="4"/>
  <c r="AO32" i="4"/>
  <c r="AP32" i="4"/>
  <c r="AQ32" i="4"/>
  <c r="AR32" i="4"/>
  <c r="AS32" i="4"/>
  <c r="AT32" i="4"/>
  <c r="AL33" i="4"/>
  <c r="AM33" i="4"/>
  <c r="AN33" i="4"/>
  <c r="AO33" i="4"/>
  <c r="AP33" i="4"/>
  <c r="AQ33" i="4"/>
  <c r="AR33" i="4"/>
  <c r="AS33" i="4"/>
  <c r="AT33" i="4"/>
  <c r="AL34" i="4"/>
  <c r="AM34" i="4"/>
  <c r="AN34" i="4"/>
  <c r="AO34" i="4"/>
  <c r="AP34" i="4"/>
  <c r="AQ34" i="4"/>
  <c r="AR34" i="4"/>
  <c r="AS34" i="4"/>
  <c r="AT34" i="4"/>
  <c r="AL35" i="4"/>
  <c r="AM35" i="4"/>
  <c r="AN35" i="4"/>
  <c r="AO35" i="4"/>
  <c r="AP35" i="4"/>
  <c r="AQ35" i="4"/>
  <c r="AR35" i="4"/>
  <c r="AS35" i="4"/>
  <c r="AT35" i="4"/>
  <c r="AK26" i="4"/>
  <c r="AK28" i="4"/>
  <c r="AK29" i="4"/>
  <c r="AK30" i="4"/>
  <c r="AK31" i="4"/>
  <c r="AK32" i="4"/>
  <c r="AK33" i="4"/>
  <c r="AK34" i="4"/>
  <c r="AK35" i="4"/>
  <c r="AU35" i="4"/>
  <c r="AU34" i="4"/>
  <c r="AU33" i="4"/>
  <c r="AU32" i="4"/>
  <c r="AU31" i="4"/>
  <c r="AU30" i="4"/>
  <c r="AU29" i="4"/>
  <c r="AU28" i="4"/>
  <c r="AU27" i="4"/>
  <c r="AU26" i="4"/>
  <c r="L12" i="4"/>
  <c r="L13" i="4"/>
  <c r="L14" i="4"/>
  <c r="L15" i="4"/>
  <c r="L16" i="4"/>
  <c r="L17" i="4"/>
  <c r="L18" i="4"/>
  <c r="L19" i="4"/>
  <c r="L20" i="4"/>
  <c r="L21" i="4"/>
  <c r="L11" i="4"/>
  <c r="K12" i="4"/>
  <c r="K13" i="4"/>
  <c r="K14" i="4"/>
  <c r="K15" i="4"/>
  <c r="K16" i="4"/>
  <c r="K17" i="4"/>
  <c r="K18" i="4"/>
  <c r="K19" i="4"/>
  <c r="K20" i="4"/>
  <c r="K21" i="4"/>
  <c r="K22" i="4"/>
  <c r="K11" i="4"/>
  <c r="J12" i="4"/>
  <c r="J13" i="4"/>
  <c r="J14" i="4"/>
  <c r="J15" i="4"/>
  <c r="J16" i="4"/>
  <c r="J17" i="4"/>
  <c r="J18" i="4"/>
  <c r="J19" i="4"/>
  <c r="J20" i="4"/>
  <c r="J21" i="4"/>
  <c r="J11" i="4"/>
  <c r="I12" i="4"/>
  <c r="I13" i="4"/>
  <c r="I14" i="4"/>
  <c r="I15" i="4"/>
  <c r="I16" i="4"/>
  <c r="I17" i="4"/>
  <c r="I18" i="4"/>
  <c r="I19" i="4"/>
  <c r="I20" i="4"/>
  <c r="I21" i="4"/>
  <c r="I22" i="4"/>
  <c r="I11" i="4"/>
  <c r="AB110" i="1"/>
  <c r="AB111" i="1" s="1"/>
  <c r="J198" i="5"/>
  <c r="J202" i="5"/>
  <c r="T37" i="7"/>
  <c r="AA37" i="7"/>
  <c r="AA45" i="7"/>
  <c r="AA46" i="7"/>
  <c r="AA51" i="7"/>
  <c r="Y37" i="7"/>
  <c r="Y45" i="7"/>
  <c r="Y46" i="7"/>
  <c r="Y51" i="7"/>
  <c r="AB37" i="7"/>
  <c r="AB45" i="7"/>
  <c r="AB46" i="7"/>
  <c r="AB51" i="7"/>
  <c r="AI37" i="7"/>
  <c r="AI45" i="7"/>
  <c r="AI46" i="7"/>
  <c r="AI51" i="7"/>
  <c r="AG37" i="7"/>
  <c r="AG45" i="7" s="1"/>
  <c r="AG46" i="7" s="1"/>
  <c r="AG51" i="7" s="1"/>
  <c r="AL37" i="7"/>
  <c r="AL45" i="7"/>
  <c r="AL46" i="7"/>
  <c r="AL51" i="7"/>
  <c r="AK37" i="7"/>
  <c r="AK45" i="7"/>
  <c r="AK46" i="7"/>
  <c r="AK51" i="7"/>
  <c r="AD37" i="7"/>
  <c r="AD45" i="7"/>
  <c r="AD46" i="7"/>
  <c r="AD51" i="7"/>
  <c r="AC37" i="7"/>
  <c r="AC45" i="7"/>
  <c r="AC46" i="7"/>
  <c r="AC51" i="7"/>
  <c r="AN37" i="7"/>
  <c r="AN45" i="7"/>
  <c r="AN46" i="7"/>
  <c r="AN51" i="7"/>
  <c r="V37" i="7"/>
  <c r="V45" i="7"/>
  <c r="V46" i="7"/>
  <c r="U37" i="7"/>
  <c r="AF37" i="7"/>
  <c r="AF45" i="7"/>
  <c r="AF46" i="7"/>
  <c r="AF51" i="7"/>
  <c r="X37" i="7"/>
  <c r="X45" i="7"/>
  <c r="X46" i="7"/>
  <c r="X51" i="7"/>
  <c r="AU45" i="7"/>
  <c r="AU46" i="7" s="1"/>
  <c r="AU51" i="7" s="1"/>
  <c r="W37" i="7"/>
  <c r="W45" i="7" s="1"/>
  <c r="W46" i="7" s="1"/>
  <c r="W51" i="7" s="1"/>
  <c r="AR37" i="7"/>
  <c r="AR45" i="7"/>
  <c r="AR46" i="7"/>
  <c r="AR51" i="7"/>
  <c r="AY37" i="7"/>
  <c r="AM37" i="7"/>
  <c r="AM45" i="7"/>
  <c r="AM46" i="7"/>
  <c r="AM51" i="7"/>
  <c r="AJ37" i="7"/>
  <c r="AJ45" i="7"/>
  <c r="AJ46" i="7"/>
  <c r="AJ51" i="7"/>
  <c r="AQ37" i="7"/>
  <c r="AQ45" i="7"/>
  <c r="AO37" i="7"/>
  <c r="AO45" i="7"/>
  <c r="AE37" i="7"/>
  <c r="AE45" i="7"/>
  <c r="AE46" i="7"/>
  <c r="AE51" i="7"/>
  <c r="AB45" i="6"/>
  <c r="AB50" i="6"/>
  <c r="AB46" i="6"/>
  <c r="AB51" i="6"/>
  <c r="AJ46" i="6"/>
  <c r="AJ45" i="6"/>
  <c r="AJ50" i="6"/>
  <c r="AT37" i="6"/>
  <c r="AT45" i="6"/>
  <c r="AU50" i="6"/>
  <c r="AW37" i="6"/>
  <c r="AW45" i="6"/>
  <c r="AW50" i="6"/>
  <c r="AN37" i="6"/>
  <c r="AN45" i="6"/>
  <c r="AN50" i="6"/>
  <c r="W37" i="6"/>
  <c r="AL37" i="6"/>
  <c r="AL45" i="6"/>
  <c r="AL50" i="6"/>
  <c r="AX37" i="6"/>
  <c r="AX45" i="6"/>
  <c r="AO37" i="6"/>
  <c r="AO45" i="6"/>
  <c r="AF37" i="6"/>
  <c r="AP37" i="6"/>
  <c r="AP45" i="6"/>
  <c r="V37" i="6"/>
  <c r="AS37" i="6"/>
  <c r="AS45" i="6"/>
  <c r="AS50" i="6"/>
  <c r="AH37" i="6"/>
  <c r="Y37" i="6"/>
  <c r="AG37" i="6"/>
  <c r="AK37" i="6"/>
  <c r="AK45" i="6"/>
  <c r="AK50" i="6"/>
  <c r="Z37" i="6"/>
  <c r="AE37" i="6"/>
  <c r="AC37" i="6"/>
  <c r="AQ50" i="6"/>
  <c r="AD37" i="6"/>
  <c r="U37" i="6"/>
  <c r="X37" i="6"/>
  <c r="AM37" i="6"/>
  <c r="AM45" i="6"/>
  <c r="AM50" i="6"/>
  <c r="AR37" i="6"/>
  <c r="AR45" i="6"/>
  <c r="AR50" i="6"/>
  <c r="AV37" i="6"/>
  <c r="AV45" i="6"/>
  <c r="AV50" i="6"/>
  <c r="AK37" i="4"/>
  <c r="AQ46" i="7"/>
  <c r="AQ51" i="7"/>
  <c r="AC46" i="6"/>
  <c r="AC51" i="6"/>
  <c r="AC45" i="6"/>
  <c r="AC50" i="6"/>
  <c r="V46" i="6"/>
  <c r="V51" i="6"/>
  <c r="V45" i="6"/>
  <c r="V50" i="6"/>
  <c r="Z46" i="6"/>
  <c r="Z51" i="6"/>
  <c r="Z45" i="6"/>
  <c r="Z50" i="6"/>
  <c r="AF45" i="6"/>
  <c r="AF50" i="6"/>
  <c r="AF46" i="6"/>
  <c r="AF51" i="6"/>
  <c r="AE45" i="6"/>
  <c r="AE50" i="6"/>
  <c r="AE46" i="6"/>
  <c r="AE51" i="6"/>
  <c r="X45" i="6"/>
  <c r="X50" i="6"/>
  <c r="X46" i="6"/>
  <c r="X51" i="6"/>
  <c r="AG45" i="6"/>
  <c r="AG50" i="6"/>
  <c r="AG46" i="6"/>
  <c r="AG51" i="6"/>
  <c r="AJ51" i="6"/>
  <c r="AK46" i="6"/>
  <c r="U45" i="6"/>
  <c r="U50" i="6"/>
  <c r="U46" i="6"/>
  <c r="U51" i="6"/>
  <c r="Y45" i="6"/>
  <c r="Y50" i="6"/>
  <c r="Y46" i="6"/>
  <c r="Y51" i="6"/>
  <c r="AD46" i="6"/>
  <c r="AD51" i="6"/>
  <c r="AD45" i="6"/>
  <c r="AD50" i="6"/>
  <c r="AH45" i="6"/>
  <c r="AH50" i="6"/>
  <c r="AH46" i="6"/>
  <c r="AH51" i="6"/>
  <c r="W45" i="6"/>
  <c r="W50" i="6"/>
  <c r="W46" i="6"/>
  <c r="W51" i="6"/>
  <c r="AK51" i="6"/>
  <c r="AL46" i="6"/>
  <c r="AL51" i="6"/>
  <c r="AM46" i="6"/>
  <c r="AM51" i="6"/>
  <c r="AN46" i="6"/>
  <c r="AN51" i="6"/>
  <c r="AO46" i="6"/>
  <c r="AP46" i="6"/>
  <c r="AQ46" i="6"/>
  <c r="AQ51" i="6"/>
  <c r="AR46" i="6"/>
  <c r="AR51" i="6"/>
  <c r="AS46" i="6"/>
  <c r="AS51" i="6"/>
  <c r="AT46" i="6"/>
  <c r="AU46" i="6"/>
  <c r="AU51" i="6"/>
  <c r="AV46" i="6"/>
  <c r="AV51" i="6"/>
  <c r="AW46" i="6"/>
  <c r="AW51" i="6"/>
  <c r="AX46" i="6"/>
  <c r="AJ42" i="26" l="1"/>
  <c r="AB42" i="26"/>
  <c r="T42" i="26"/>
  <c r="U49" i="26"/>
  <c r="Y42" i="26"/>
  <c r="AG49" i="25"/>
  <c r="AI49" i="25"/>
  <c r="U49" i="25"/>
  <c r="AM49" i="25"/>
  <c r="AA49" i="25"/>
  <c r="AS49" i="25"/>
  <c r="AG45" i="4"/>
  <c r="AG46" i="4" s="1"/>
  <c r="AG51" i="4" s="1"/>
  <c r="AQ49" i="4"/>
  <c r="AK49" i="4"/>
  <c r="AE49" i="4"/>
  <c r="Y49" i="4"/>
  <c r="AT42" i="4"/>
  <c r="AU45" i="4" s="1"/>
  <c r="V42" i="4"/>
  <c r="W45" i="4" s="1"/>
  <c r="W46" i="4" s="1"/>
  <c r="W51" i="4" s="1"/>
  <c r="T42" i="4"/>
  <c r="U45" i="4" s="1"/>
  <c r="U46" i="4" s="1"/>
  <c r="U51" i="4" s="1"/>
  <c r="AP42" i="4"/>
  <c r="AQ45" i="4" s="1"/>
  <c r="AQ46" i="4" s="1"/>
  <c r="AQ51" i="4" s="1"/>
  <c r="AG42" i="4"/>
  <c r="AH45" i="4" s="1"/>
  <c r="AH46" i="4" s="1"/>
  <c r="AH51" i="4" s="1"/>
  <c r="AJ49" i="4"/>
  <c r="AD49" i="4"/>
  <c r="X49" i="4"/>
  <c r="AS42" i="4"/>
  <c r="AT45" i="4" s="1"/>
  <c r="AN42" i="4"/>
  <c r="AO45" i="4" s="1"/>
  <c r="AA42" i="4"/>
  <c r="AB45" i="4" s="1"/>
  <c r="AB46" i="4" s="1"/>
  <c r="AB51" i="4" s="1"/>
  <c r="U42" i="4"/>
  <c r="V45" i="4" s="1"/>
  <c r="V46" i="4" s="1"/>
  <c r="V51" i="4" s="1"/>
  <c r="AK40" i="26"/>
  <c r="AL40" i="26" s="1"/>
  <c r="AM40" i="26" s="1"/>
  <c r="AM49" i="26" s="1"/>
  <c r="AM42" i="4"/>
  <c r="AN45" i="4" s="1"/>
  <c r="AN46" i="4" s="1"/>
  <c r="AN51" i="4" s="1"/>
  <c r="AH49" i="4"/>
  <c r="AB49" i="4"/>
  <c r="AW46" i="4"/>
  <c r="AW51" i="4" s="1"/>
  <c r="AM26" i="26"/>
  <c r="L12" i="26"/>
  <c r="X26" i="26"/>
  <c r="AN26" i="26"/>
  <c r="V49" i="26"/>
  <c r="J15" i="26"/>
  <c r="AA26" i="26"/>
  <c r="AQ26" i="26"/>
  <c r="AS27" i="26"/>
  <c r="AI28" i="26"/>
  <c r="AC29" i="26"/>
  <c r="AG30" i="26"/>
  <c r="Z32" i="26"/>
  <c r="AV32" i="26"/>
  <c r="AJ34" i="26"/>
  <c r="J13" i="26"/>
  <c r="J20" i="26"/>
  <c r="AC26" i="26"/>
  <c r="AS26" i="26"/>
  <c r="U28" i="26"/>
  <c r="AK28" i="26"/>
  <c r="AK29" i="26"/>
  <c r="AC49" i="26"/>
  <c r="L14" i="26"/>
  <c r="W26" i="26"/>
  <c r="J11" i="26"/>
  <c r="J18" i="26"/>
  <c r="AC25" i="26"/>
  <c r="AE26" i="26"/>
  <c r="AU26" i="26"/>
  <c r="W28" i="26"/>
  <c r="AM28" i="26"/>
  <c r="AS29" i="26"/>
  <c r="AN30" i="26"/>
  <c r="AF32" i="26"/>
  <c r="AY32" i="26"/>
  <c r="AR34" i="26"/>
  <c r="AD49" i="26"/>
  <c r="AI42" i="26"/>
  <c r="J16" i="26"/>
  <c r="L20" i="26"/>
  <c r="AK25" i="26"/>
  <c r="AF26" i="26"/>
  <c r="AV26" i="26"/>
  <c r="X28" i="26"/>
  <c r="AN28" i="26"/>
  <c r="U30" i="26"/>
  <c r="AO30" i="26"/>
  <c r="AH32" i="26"/>
  <c r="T34" i="26"/>
  <c r="AU34" i="26"/>
  <c r="AG42" i="26"/>
  <c r="J14" i="26"/>
  <c r="L18" i="26"/>
  <c r="AS25" i="26"/>
  <c r="AI26" i="26"/>
  <c r="AY26" i="26"/>
  <c r="AA28" i="26"/>
  <c r="AS28" i="26"/>
  <c r="X30" i="26"/>
  <c r="AT30" i="26"/>
  <c r="AI32" i="26"/>
  <c r="U34" i="26"/>
  <c r="AH42" i="26"/>
  <c r="J12" i="26"/>
  <c r="L16" i="26"/>
  <c r="U26" i="26"/>
  <c r="AK26" i="26"/>
  <c r="AC28" i="26"/>
  <c r="AU28" i="26"/>
  <c r="AN32" i="26"/>
  <c r="AV40" i="25"/>
  <c r="AV42" i="25" s="1"/>
  <c r="X25" i="26"/>
  <c r="X27" i="26"/>
  <c r="X29" i="26"/>
  <c r="AN29" i="26"/>
  <c r="Z31" i="26"/>
  <c r="AF35" i="26"/>
  <c r="L11" i="26"/>
  <c r="L13" i="26"/>
  <c r="L15" i="26"/>
  <c r="L17" i="26"/>
  <c r="L19" i="26"/>
  <c r="L21" i="26"/>
  <c r="Y25" i="26"/>
  <c r="AG25" i="26"/>
  <c r="AO25" i="26"/>
  <c r="AW25" i="26"/>
  <c r="Y26" i="26"/>
  <c r="AG26" i="26"/>
  <c r="AO26" i="26"/>
  <c r="AW26" i="26"/>
  <c r="Y27" i="26"/>
  <c r="AG27" i="26"/>
  <c r="AO27" i="26"/>
  <c r="AW27" i="26"/>
  <c r="Y28" i="26"/>
  <c r="AG28" i="26"/>
  <c r="AO28" i="26"/>
  <c r="AW28" i="26"/>
  <c r="Y29" i="26"/>
  <c r="AG29" i="26"/>
  <c r="AO29" i="26"/>
  <c r="AW29" i="26"/>
  <c r="Z30" i="26"/>
  <c r="AH30" i="26"/>
  <c r="AP30" i="26"/>
  <c r="AX30" i="26"/>
  <c r="AA31" i="26"/>
  <c r="AI31" i="26"/>
  <c r="AQ31" i="26"/>
  <c r="AY31" i="26"/>
  <c r="AB32" i="26"/>
  <c r="AJ32" i="26"/>
  <c r="AR32" i="26"/>
  <c r="T33" i="26"/>
  <c r="AC33" i="26"/>
  <c r="AL33" i="26"/>
  <c r="AT33" i="26"/>
  <c r="V34" i="26"/>
  <c r="AE34" i="26"/>
  <c r="AN34" i="26"/>
  <c r="AV34" i="26"/>
  <c r="Y35" i="26"/>
  <c r="AH35" i="26"/>
  <c r="AP35" i="26"/>
  <c r="AX35" i="26"/>
  <c r="W49" i="26"/>
  <c r="AE49" i="26"/>
  <c r="AN25" i="26"/>
  <c r="AF29" i="26"/>
  <c r="AV29" i="26"/>
  <c r="AP31" i="26"/>
  <c r="AO35" i="26"/>
  <c r="Z25" i="26"/>
  <c r="AH25" i="26"/>
  <c r="AP25" i="26"/>
  <c r="AX25" i="26"/>
  <c r="Z26" i="26"/>
  <c r="AH26" i="26"/>
  <c r="AP26" i="26"/>
  <c r="AX26" i="26"/>
  <c r="Z27" i="26"/>
  <c r="AH27" i="26"/>
  <c r="AP27" i="26"/>
  <c r="AX27" i="26"/>
  <c r="Z28" i="26"/>
  <c r="AH28" i="26"/>
  <c r="AP28" i="26"/>
  <c r="AX28" i="26"/>
  <c r="Z29" i="26"/>
  <c r="AH29" i="26"/>
  <c r="AP29" i="26"/>
  <c r="AX29" i="26"/>
  <c r="AA30" i="26"/>
  <c r="AI30" i="26"/>
  <c r="AQ30" i="26"/>
  <c r="AY30" i="26"/>
  <c r="AB31" i="26"/>
  <c r="AJ31" i="26"/>
  <c r="AR31" i="26"/>
  <c r="T32" i="26"/>
  <c r="AC32" i="26"/>
  <c r="AK32" i="26"/>
  <c r="AS32" i="26"/>
  <c r="U33" i="26"/>
  <c r="AD33" i="26"/>
  <c r="AM33" i="26"/>
  <c r="AU33" i="26"/>
  <c r="X34" i="26"/>
  <c r="AF34" i="26"/>
  <c r="AO34" i="26"/>
  <c r="AW34" i="26"/>
  <c r="Z35" i="26"/>
  <c r="AI35" i="26"/>
  <c r="AQ35" i="26"/>
  <c r="AY35" i="26"/>
  <c r="X49" i="26"/>
  <c r="AF49" i="26"/>
  <c r="AV25" i="26"/>
  <c r="AN27" i="26"/>
  <c r="AH31" i="26"/>
  <c r="AX31" i="26"/>
  <c r="AB33" i="26"/>
  <c r="AK33" i="26"/>
  <c r="AS33" i="26"/>
  <c r="AA25" i="26"/>
  <c r="AI25" i="26"/>
  <c r="AQ25" i="26"/>
  <c r="AY25" i="26"/>
  <c r="AA27" i="26"/>
  <c r="AI27" i="26"/>
  <c r="AQ27" i="26"/>
  <c r="AY27" i="26"/>
  <c r="AQ28" i="26"/>
  <c r="AY28" i="26"/>
  <c r="AA29" i="26"/>
  <c r="AI29" i="26"/>
  <c r="AQ29" i="26"/>
  <c r="AY29" i="26"/>
  <c r="AB30" i="26"/>
  <c r="AJ30" i="26"/>
  <c r="AR30" i="26"/>
  <c r="T31" i="26"/>
  <c r="AC31" i="26"/>
  <c r="AK31" i="26"/>
  <c r="AS31" i="26"/>
  <c r="U32" i="26"/>
  <c r="AD32" i="26"/>
  <c r="AL32" i="26"/>
  <c r="AT32" i="26"/>
  <c r="V33" i="26"/>
  <c r="AE33" i="26"/>
  <c r="AN33" i="26"/>
  <c r="AV33" i="26"/>
  <c r="Y34" i="26"/>
  <c r="AH34" i="26"/>
  <c r="AP34" i="26"/>
  <c r="AX34" i="26"/>
  <c r="AA35" i="26"/>
  <c r="AJ35" i="26"/>
  <c r="AR35" i="26"/>
  <c r="AF25" i="26"/>
  <c r="AF27" i="26"/>
  <c r="AV27" i="26"/>
  <c r="X35" i="26"/>
  <c r="AW35" i="26"/>
  <c r="T25" i="26"/>
  <c r="AB25" i="26"/>
  <c r="AJ25" i="26"/>
  <c r="AR25" i="26"/>
  <c r="T26" i="26"/>
  <c r="AB26" i="26"/>
  <c r="AJ26" i="26"/>
  <c r="AR26" i="26"/>
  <c r="T27" i="26"/>
  <c r="AB27" i="26"/>
  <c r="AJ27" i="26"/>
  <c r="AR27" i="26"/>
  <c r="T28" i="26"/>
  <c r="AB28" i="26"/>
  <c r="AJ28" i="26"/>
  <c r="AR28" i="26"/>
  <c r="T29" i="26"/>
  <c r="AB29" i="26"/>
  <c r="AJ29" i="26"/>
  <c r="AR29" i="26"/>
  <c r="T30" i="26"/>
  <c r="AC30" i="26"/>
  <c r="AK30" i="26"/>
  <c r="AK45" i="26" s="1"/>
  <c r="AK46" i="26" s="1"/>
  <c r="AK51" i="26" s="1"/>
  <c r="AS30" i="26"/>
  <c r="U31" i="26"/>
  <c r="AD31" i="26"/>
  <c r="AL31" i="26"/>
  <c r="AT31" i="26"/>
  <c r="V32" i="26"/>
  <c r="AE32" i="26"/>
  <c r="AM32" i="26"/>
  <c r="AU32" i="26"/>
  <c r="X33" i="26"/>
  <c r="AF33" i="26"/>
  <c r="AO33" i="26"/>
  <c r="AW33" i="26"/>
  <c r="Z34" i="26"/>
  <c r="AI34" i="26"/>
  <c r="AQ34" i="26"/>
  <c r="AY34" i="26"/>
  <c r="AB35" i="26"/>
  <c r="AK35" i="26"/>
  <c r="AS35" i="26"/>
  <c r="AE31" i="26"/>
  <c r="AM31" i="26"/>
  <c r="AH33" i="26"/>
  <c r="AP33" i="26"/>
  <c r="AC35" i="26"/>
  <c r="AT35" i="26"/>
  <c r="V25" i="26"/>
  <c r="AD25" i="26"/>
  <c r="AL25" i="26"/>
  <c r="AT25" i="26"/>
  <c r="V26" i="26"/>
  <c r="AD26" i="26"/>
  <c r="AL26" i="26"/>
  <c r="V27" i="26"/>
  <c r="AD27" i="26"/>
  <c r="AL27" i="26"/>
  <c r="AT27" i="26"/>
  <c r="V28" i="26"/>
  <c r="AD28" i="26"/>
  <c r="AL28" i="26"/>
  <c r="V29" i="26"/>
  <c r="AD29" i="26"/>
  <c r="AL29" i="26"/>
  <c r="AT29" i="26"/>
  <c r="V30" i="26"/>
  <c r="AE30" i="26"/>
  <c r="AM30" i="26"/>
  <c r="X31" i="26"/>
  <c r="AF31" i="26"/>
  <c r="AN31" i="26"/>
  <c r="AV31" i="26"/>
  <c r="Y32" i="26"/>
  <c r="AG32" i="26"/>
  <c r="AO32" i="26"/>
  <c r="Z33" i="26"/>
  <c r="AI33" i="26"/>
  <c r="AQ33" i="26"/>
  <c r="AY33" i="26"/>
  <c r="AB34" i="26"/>
  <c r="AK34" i="26"/>
  <c r="AS34" i="26"/>
  <c r="U35" i="26"/>
  <c r="AD35" i="26"/>
  <c r="AM35" i="26"/>
  <c r="AU35" i="26"/>
  <c r="AA42" i="26"/>
  <c r="V31" i="26"/>
  <c r="AU31" i="26"/>
  <c r="Y33" i="26"/>
  <c r="AX33" i="26"/>
  <c r="T35" i="26"/>
  <c r="AL35" i="26"/>
  <c r="W25" i="26"/>
  <c r="AE25" i="26"/>
  <c r="AM25" i="26"/>
  <c r="W27" i="26"/>
  <c r="AE27" i="26"/>
  <c r="AM27" i="26"/>
  <c r="W29" i="26"/>
  <c r="AE29" i="26"/>
  <c r="AM29" i="26"/>
  <c r="Y31" i="26"/>
  <c r="AG31" i="26"/>
  <c r="AO31" i="26"/>
  <c r="AA33" i="26"/>
  <c r="AJ33" i="26"/>
  <c r="AL34" i="26"/>
  <c r="V35" i="26"/>
  <c r="AE35" i="26"/>
  <c r="AN35" i="26"/>
  <c r="AM33" i="25"/>
  <c r="J12" i="25"/>
  <c r="L13" i="25"/>
  <c r="J15" i="25"/>
  <c r="L16" i="25"/>
  <c r="J18" i="25"/>
  <c r="L19" i="25"/>
  <c r="J21" i="25"/>
  <c r="U25" i="25"/>
  <c r="AB25" i="25"/>
  <c r="AR25" i="25"/>
  <c r="T28" i="25"/>
  <c r="AH31" i="25"/>
  <c r="AY34" i="25"/>
  <c r="AY27" i="25"/>
  <c r="AS27" i="25"/>
  <c r="AM27" i="25"/>
  <c r="AG27" i="25"/>
  <c r="AA27" i="25"/>
  <c r="U27" i="25"/>
  <c r="AX27" i="25"/>
  <c r="AR27" i="25"/>
  <c r="AL27" i="25"/>
  <c r="AF27" i="25"/>
  <c r="Z27" i="25"/>
  <c r="T27" i="25"/>
  <c r="AW27" i="25"/>
  <c r="AQ27" i="25"/>
  <c r="AK27" i="25"/>
  <c r="AE27" i="25"/>
  <c r="Y27" i="25"/>
  <c r="AV27" i="25"/>
  <c r="AP27" i="25"/>
  <c r="AJ27" i="25"/>
  <c r="AD27" i="25"/>
  <c r="X27" i="25"/>
  <c r="AU27" i="25"/>
  <c r="AO27" i="25"/>
  <c r="AI27" i="25"/>
  <c r="AC27" i="25"/>
  <c r="W27" i="25"/>
  <c r="AT30" i="25"/>
  <c r="AN30" i="25"/>
  <c r="AH30" i="25"/>
  <c r="AB30" i="25"/>
  <c r="U30" i="25"/>
  <c r="AY30" i="25"/>
  <c r="AS30" i="25"/>
  <c r="AM30" i="25"/>
  <c r="AG30" i="25"/>
  <c r="AA30" i="25"/>
  <c r="T30" i="25"/>
  <c r="AX30" i="25"/>
  <c r="AR30" i="25"/>
  <c r="AL30" i="25"/>
  <c r="AL37" i="25" s="1"/>
  <c r="AL45" i="25" s="1"/>
  <c r="AL46" i="25" s="1"/>
  <c r="AL51" i="25" s="1"/>
  <c r="AF30" i="25"/>
  <c r="Z30" i="25"/>
  <c r="AW30" i="25"/>
  <c r="AQ30" i="25"/>
  <c r="AK30" i="25"/>
  <c r="AE30" i="25"/>
  <c r="Y30" i="25"/>
  <c r="AV30" i="25"/>
  <c r="AP30" i="25"/>
  <c r="AJ30" i="25"/>
  <c r="AD30" i="25"/>
  <c r="X30" i="25"/>
  <c r="AX33" i="25"/>
  <c r="AR33" i="25"/>
  <c r="AL33" i="25"/>
  <c r="AE33" i="25"/>
  <c r="Y33" i="25"/>
  <c r="AW33" i="25"/>
  <c r="AQ33" i="25"/>
  <c r="AK33" i="25"/>
  <c r="AD33" i="25"/>
  <c r="X33" i="25"/>
  <c r="AV33" i="25"/>
  <c r="AP33" i="25"/>
  <c r="AJ33" i="25"/>
  <c r="AC33" i="25"/>
  <c r="V33" i="25"/>
  <c r="AU33" i="25"/>
  <c r="AO33" i="25"/>
  <c r="AI33" i="25"/>
  <c r="AB33" i="25"/>
  <c r="U33" i="25"/>
  <c r="AT33" i="25"/>
  <c r="AN33" i="25"/>
  <c r="AH33" i="25"/>
  <c r="AA33" i="25"/>
  <c r="T33" i="25"/>
  <c r="AU26" i="25"/>
  <c r="AO26" i="25"/>
  <c r="AI26" i="25"/>
  <c r="AC26" i="25"/>
  <c r="W26" i="25"/>
  <c r="AT26" i="25"/>
  <c r="AN26" i="25"/>
  <c r="AH26" i="25"/>
  <c r="AB26" i="25"/>
  <c r="V26" i="25"/>
  <c r="AY26" i="25"/>
  <c r="AS26" i="25"/>
  <c r="AM26" i="25"/>
  <c r="AG26" i="25"/>
  <c r="AA26" i="25"/>
  <c r="U26" i="25"/>
  <c r="AX26" i="25"/>
  <c r="AR26" i="25"/>
  <c r="AL26" i="25"/>
  <c r="AF26" i="25"/>
  <c r="Z26" i="25"/>
  <c r="Z37" i="25" s="1"/>
  <c r="Z45" i="25" s="1"/>
  <c r="Z46" i="25" s="1"/>
  <c r="Z51" i="25" s="1"/>
  <c r="T26" i="25"/>
  <c r="T37" i="25" s="1"/>
  <c r="AW26" i="25"/>
  <c r="AQ26" i="25"/>
  <c r="AK26" i="25"/>
  <c r="AE26" i="25"/>
  <c r="Y26" i="25"/>
  <c r="AU29" i="25"/>
  <c r="AO29" i="25"/>
  <c r="AI29" i="25"/>
  <c r="AC29" i="25"/>
  <c r="W29" i="25"/>
  <c r="AT29" i="25"/>
  <c r="AN29" i="25"/>
  <c r="AH29" i="25"/>
  <c r="AB29" i="25"/>
  <c r="V29" i="25"/>
  <c r="AY29" i="25"/>
  <c r="AS29" i="25"/>
  <c r="AM29" i="25"/>
  <c r="AG29" i="25"/>
  <c r="AA29" i="25"/>
  <c r="U29" i="25"/>
  <c r="AX29" i="25"/>
  <c r="AR29" i="25"/>
  <c r="AL29" i="25"/>
  <c r="AF29" i="25"/>
  <c r="Z29" i="25"/>
  <c r="T29" i="25"/>
  <c r="AW29" i="25"/>
  <c r="AQ29" i="25"/>
  <c r="AK29" i="25"/>
  <c r="AE29" i="25"/>
  <c r="Y29" i="25"/>
  <c r="AX32" i="25"/>
  <c r="AR32" i="25"/>
  <c r="AL32" i="25"/>
  <c r="AF32" i="25"/>
  <c r="Z32" i="25"/>
  <c r="AW32" i="25"/>
  <c r="AQ32" i="25"/>
  <c r="AK32" i="25"/>
  <c r="AE32" i="25"/>
  <c r="Y32" i="25"/>
  <c r="AV32" i="25"/>
  <c r="AP32" i="25"/>
  <c r="AJ32" i="25"/>
  <c r="AD32" i="25"/>
  <c r="X32" i="25"/>
  <c r="AU32" i="25"/>
  <c r="AO32" i="25"/>
  <c r="AI32" i="25"/>
  <c r="AC32" i="25"/>
  <c r="V32" i="25"/>
  <c r="AT32" i="25"/>
  <c r="AN32" i="25"/>
  <c r="AH32" i="25"/>
  <c r="AB32" i="25"/>
  <c r="U32" i="25"/>
  <c r="AX35" i="25"/>
  <c r="AR35" i="25"/>
  <c r="AL35" i="25"/>
  <c r="AE35" i="25"/>
  <c r="Y35" i="25"/>
  <c r="AW35" i="25"/>
  <c r="AQ35" i="25"/>
  <c r="AK35" i="25"/>
  <c r="AD35" i="25"/>
  <c r="X35" i="25"/>
  <c r="AV35" i="25"/>
  <c r="AP35" i="25"/>
  <c r="AJ35" i="25"/>
  <c r="AC35" i="25"/>
  <c r="V35" i="25"/>
  <c r="AU35" i="25"/>
  <c r="AO35" i="25"/>
  <c r="AI35" i="25"/>
  <c r="AB35" i="25"/>
  <c r="U35" i="25"/>
  <c r="AT35" i="25"/>
  <c r="AN35" i="25"/>
  <c r="AH35" i="25"/>
  <c r="AA35" i="25"/>
  <c r="T35" i="25"/>
  <c r="V25" i="25"/>
  <c r="V37" i="25" s="1"/>
  <c r="V45" i="25" s="1"/>
  <c r="V46" i="25" s="1"/>
  <c r="V51" i="25" s="1"/>
  <c r="AC25" i="25"/>
  <c r="AX25" i="25"/>
  <c r="V27" i="25"/>
  <c r="Z28" i="25"/>
  <c r="AD29" i="25"/>
  <c r="AI30" i="25"/>
  <c r="AN31" i="25"/>
  <c r="AS32" i="25"/>
  <c r="AY33" i="25"/>
  <c r="Z35" i="25"/>
  <c r="T42" i="25"/>
  <c r="AT27" i="25"/>
  <c r="J14" i="25"/>
  <c r="L15" i="25"/>
  <c r="J17" i="25"/>
  <c r="L18" i="25"/>
  <c r="J20" i="25"/>
  <c r="L21" i="25"/>
  <c r="W25" i="25"/>
  <c r="AB27" i="25"/>
  <c r="AO30" i="25"/>
  <c r="Z42" i="25"/>
  <c r="AW25" i="25"/>
  <c r="AQ25" i="25"/>
  <c r="AK25" i="25"/>
  <c r="AV25" i="25"/>
  <c r="AP25" i="25"/>
  <c r="AJ25" i="25"/>
  <c r="AU25" i="25"/>
  <c r="AO25" i="25"/>
  <c r="AI25" i="25"/>
  <c r="AT25" i="25"/>
  <c r="AT37" i="25" s="1"/>
  <c r="AN25" i="25"/>
  <c r="AH25" i="25"/>
  <c r="AY25" i="25"/>
  <c r="AS25" i="25"/>
  <c r="AM25" i="25"/>
  <c r="AG25" i="25"/>
  <c r="AG37" i="25" s="1"/>
  <c r="AA25" i="25"/>
  <c r="AW28" i="25"/>
  <c r="AQ28" i="25"/>
  <c r="AK28" i="25"/>
  <c r="AE28" i="25"/>
  <c r="Y28" i="25"/>
  <c r="AV28" i="25"/>
  <c r="AP28" i="25"/>
  <c r="AJ28" i="25"/>
  <c r="AD28" i="25"/>
  <c r="AD37" i="25" s="1"/>
  <c r="AD45" i="25" s="1"/>
  <c r="AD46" i="25" s="1"/>
  <c r="AD51" i="25" s="1"/>
  <c r="X28" i="25"/>
  <c r="AU28" i="25"/>
  <c r="AO28" i="25"/>
  <c r="AI28" i="25"/>
  <c r="AC28" i="25"/>
  <c r="W28" i="25"/>
  <c r="AT28" i="25"/>
  <c r="AN28" i="25"/>
  <c r="AH28" i="25"/>
  <c r="AB28" i="25"/>
  <c r="V28" i="25"/>
  <c r="AY28" i="25"/>
  <c r="AS28" i="25"/>
  <c r="AM28" i="25"/>
  <c r="AG28" i="25"/>
  <c r="AA28" i="25"/>
  <c r="U28" i="25"/>
  <c r="AY31" i="25"/>
  <c r="AS31" i="25"/>
  <c r="AM31" i="25"/>
  <c r="AG31" i="25"/>
  <c r="AA31" i="25"/>
  <c r="T31" i="25"/>
  <c r="AX31" i="25"/>
  <c r="AR31" i="25"/>
  <c r="AL31" i="25"/>
  <c r="AF31" i="25"/>
  <c r="Z31" i="25"/>
  <c r="AW31" i="25"/>
  <c r="AQ31" i="25"/>
  <c r="AK31" i="25"/>
  <c r="AE31" i="25"/>
  <c r="Y31" i="25"/>
  <c r="AV31" i="25"/>
  <c r="AP31" i="25"/>
  <c r="AJ31" i="25"/>
  <c r="AD31" i="25"/>
  <c r="X31" i="25"/>
  <c r="AU31" i="25"/>
  <c r="AO31" i="25"/>
  <c r="AI31" i="25"/>
  <c r="AC31" i="25"/>
  <c r="V31" i="25"/>
  <c r="AX34" i="25"/>
  <c r="AR34" i="25"/>
  <c r="AL34" i="25"/>
  <c r="AE34" i="25"/>
  <c r="Y34" i="25"/>
  <c r="AW34" i="25"/>
  <c r="AQ34" i="25"/>
  <c r="AK34" i="25"/>
  <c r="AD34" i="25"/>
  <c r="X34" i="25"/>
  <c r="AV34" i="25"/>
  <c r="AP34" i="25"/>
  <c r="AJ34" i="25"/>
  <c r="AC34" i="25"/>
  <c r="V34" i="25"/>
  <c r="AU34" i="25"/>
  <c r="AO34" i="25"/>
  <c r="AI34" i="25"/>
  <c r="AB34" i="25"/>
  <c r="U34" i="25"/>
  <c r="AT34" i="25"/>
  <c r="AN34" i="25"/>
  <c r="AH34" i="25"/>
  <c r="AA34" i="25"/>
  <c r="T34" i="25"/>
  <c r="X25" i="25"/>
  <c r="AE25" i="25"/>
  <c r="AH27" i="25"/>
  <c r="AL28" i="25"/>
  <c r="AU30" i="25"/>
  <c r="Z33" i="25"/>
  <c r="AF34" i="25"/>
  <c r="AF42" i="25"/>
  <c r="AG45" i="25" s="1"/>
  <c r="AG46" i="25" s="1"/>
  <c r="AG51" i="25" s="1"/>
  <c r="V30" i="25"/>
  <c r="J13" i="25"/>
  <c r="L14" i="25"/>
  <c r="J16" i="25"/>
  <c r="L17" i="25"/>
  <c r="L20" i="25"/>
  <c r="Y25" i="25"/>
  <c r="AF25" i="25"/>
  <c r="AN27" i="25"/>
  <c r="AR28" i="25"/>
  <c r="U31" i="25"/>
  <c r="AF33" i="25"/>
  <c r="AM34" i="25"/>
  <c r="AL42" i="25"/>
  <c r="X49" i="25"/>
  <c r="AD49" i="25"/>
  <c r="AJ49" i="25"/>
  <c r="AP49" i="25"/>
  <c r="V42" i="25"/>
  <c r="AB42" i="25"/>
  <c r="AH42" i="25"/>
  <c r="AN42" i="25"/>
  <c r="AO45" i="25" s="1"/>
  <c r="AT42" i="25"/>
  <c r="AU45" i="25" s="1"/>
  <c r="AU46" i="25" s="1"/>
  <c r="Y49" i="25"/>
  <c r="AE49" i="25"/>
  <c r="AK49" i="25"/>
  <c r="AQ49" i="25"/>
  <c r="AW40" i="7"/>
  <c r="AE12" i="24"/>
  <c r="AB12" i="24"/>
  <c r="D12" i="24"/>
  <c r="J12" i="24"/>
  <c r="P12" i="24"/>
  <c r="V12" i="24"/>
  <c r="U12" i="24"/>
  <c r="E12" i="24"/>
  <c r="F12" i="24"/>
  <c r="L12" i="24"/>
  <c r="R12" i="24"/>
  <c r="X12" i="24"/>
  <c r="AD12" i="24"/>
  <c r="G12" i="24"/>
  <c r="M12" i="24"/>
  <c r="S12" i="24"/>
  <c r="Y12" i="24"/>
  <c r="C12" i="24"/>
  <c r="H12" i="24"/>
  <c r="N12" i="24"/>
  <c r="T12" i="24"/>
  <c r="Z12" i="24"/>
  <c r="K12" i="24"/>
  <c r="Q12" i="24"/>
  <c r="W12" i="24"/>
  <c r="AC12" i="24"/>
  <c r="I12" i="24"/>
  <c r="O12" i="24"/>
  <c r="AA12" i="24"/>
  <c r="Z11" i="15"/>
  <c r="Z12" i="15" s="1"/>
  <c r="T11" i="15"/>
  <c r="T12" i="15" s="1"/>
  <c r="G11" i="15"/>
  <c r="G12" i="15" s="1"/>
  <c r="N12" i="15"/>
  <c r="H12" i="15"/>
  <c r="I12" i="15"/>
  <c r="AE11" i="15"/>
  <c r="AE12" i="15" s="1"/>
  <c r="Y11" i="15"/>
  <c r="Y12" i="15" s="1"/>
  <c r="S11" i="15"/>
  <c r="S12" i="15" s="1"/>
  <c r="M11" i="15"/>
  <c r="M12" i="15" s="1"/>
  <c r="AD11" i="15"/>
  <c r="AD12" i="15" s="1"/>
  <c r="X11" i="15"/>
  <c r="X12" i="15" s="1"/>
  <c r="R11" i="15"/>
  <c r="R12" i="15" s="1"/>
  <c r="L11" i="15"/>
  <c r="L12" i="15" s="1"/>
  <c r="F12" i="15"/>
  <c r="AC11" i="15"/>
  <c r="AC12" i="15" s="1"/>
  <c r="W11" i="15"/>
  <c r="W12" i="15" s="1"/>
  <c r="Q11" i="15"/>
  <c r="Q12" i="15" s="1"/>
  <c r="K11" i="15"/>
  <c r="K12" i="15" s="1"/>
  <c r="E12" i="15"/>
  <c r="AB11" i="15"/>
  <c r="AB12" i="15" s="1"/>
  <c r="V11" i="15"/>
  <c r="V12" i="15" s="1"/>
  <c r="P11" i="15"/>
  <c r="P12" i="15" s="1"/>
  <c r="J11" i="15"/>
  <c r="J12" i="15" s="1"/>
  <c r="D12" i="15"/>
  <c r="C12" i="15"/>
  <c r="AA11" i="15"/>
  <c r="AA12" i="15" s="1"/>
  <c r="U11" i="15"/>
  <c r="U12" i="15" s="1"/>
  <c r="O11" i="15"/>
  <c r="O12" i="15" s="1"/>
  <c r="AV42" i="7"/>
  <c r="AU49" i="7"/>
  <c r="W42" i="9"/>
  <c r="X42" i="9" s="1"/>
  <c r="Y42" i="9" s="1"/>
  <c r="Z42" i="9" s="1"/>
  <c r="AA42" i="9" s="1"/>
  <c r="AB42" i="9" s="1"/>
  <c r="AC42" i="9" s="1"/>
  <c r="AD42" i="9" s="1"/>
  <c r="AE42" i="9" s="1"/>
  <c r="AF42" i="9" s="1"/>
  <c r="AG42" i="9" s="1"/>
  <c r="AH42" i="9" s="1"/>
  <c r="AI42" i="9" s="1"/>
  <c r="AJ42" i="9" s="1"/>
  <c r="AK42" i="9" s="1"/>
  <c r="AL42" i="9" s="1"/>
  <c r="AM42" i="9" s="1"/>
  <c r="AN42" i="9" s="1"/>
  <c r="AO42" i="9" s="1"/>
  <c r="AP42" i="9" s="1"/>
  <c r="AQ42" i="9" s="1"/>
  <c r="AR42" i="9" s="1"/>
  <c r="AS42" i="9" s="1"/>
  <c r="AT42" i="9" s="1"/>
  <c r="AU42" i="9" s="1"/>
  <c r="AV42" i="9" s="1"/>
  <c r="W46" i="9"/>
  <c r="X46" i="9" s="1"/>
  <c r="Y46" i="9" s="1"/>
  <c r="Z46" i="9" s="1"/>
  <c r="AA46" i="9" s="1"/>
  <c r="AB46" i="9" s="1"/>
  <c r="AC46" i="9" s="1"/>
  <c r="AD46" i="9" s="1"/>
  <c r="AE46" i="9" s="1"/>
  <c r="AF46" i="9" s="1"/>
  <c r="AG46" i="9" s="1"/>
  <c r="AH46" i="9" s="1"/>
  <c r="AI46" i="9" s="1"/>
  <c r="AJ46" i="9" s="1"/>
  <c r="AK46" i="9" s="1"/>
  <c r="AL46" i="9" s="1"/>
  <c r="AM46" i="9" s="1"/>
  <c r="AN46" i="9" s="1"/>
  <c r="AO46" i="9" s="1"/>
  <c r="AP46" i="9" s="1"/>
  <c r="AQ46" i="9" s="1"/>
  <c r="AR46" i="9" s="1"/>
  <c r="AS46" i="9" s="1"/>
  <c r="AT46" i="9" s="1"/>
  <c r="AU46" i="9" s="1"/>
  <c r="AV46" i="9" s="1"/>
  <c r="AW46" i="9" s="1"/>
  <c r="AX46" i="9" s="1"/>
  <c r="W52" i="9"/>
  <c r="X52" i="9" s="1"/>
  <c r="Y52" i="9" s="1"/>
  <c r="Z52" i="9" s="1"/>
  <c r="AA52" i="9" s="1"/>
  <c r="AB52" i="9" s="1"/>
  <c r="AC52" i="9" s="1"/>
  <c r="AD52" i="9" s="1"/>
  <c r="AE52" i="9" s="1"/>
  <c r="AF52" i="9" s="1"/>
  <c r="AG52" i="9" s="1"/>
  <c r="AH52" i="9" s="1"/>
  <c r="AI52" i="9" s="1"/>
  <c r="AJ52" i="9" s="1"/>
  <c r="AK52" i="9" s="1"/>
  <c r="AL52" i="9" s="1"/>
  <c r="AM52" i="9" s="1"/>
  <c r="AN52" i="9" s="1"/>
  <c r="AO52" i="9" s="1"/>
  <c r="AP52" i="9" s="1"/>
  <c r="AQ52" i="9" s="1"/>
  <c r="AR52" i="9" s="1"/>
  <c r="AS52" i="9" s="1"/>
  <c r="AT52" i="9" s="1"/>
  <c r="AU52" i="9" s="1"/>
  <c r="AV52" i="9" s="1"/>
  <c r="AW52" i="9" s="1"/>
  <c r="AX52" i="9" s="1"/>
  <c r="AL42" i="26" l="1"/>
  <c r="AU51" i="4"/>
  <c r="AU46" i="4"/>
  <c r="AK42" i="26"/>
  <c r="AL45" i="26" s="1"/>
  <c r="AL46" i="26" s="1"/>
  <c r="AL51" i="26" s="1"/>
  <c r="AK49" i="26"/>
  <c r="AL49" i="26"/>
  <c r="AW45" i="25"/>
  <c r="AW46" i="25" s="1"/>
  <c r="AW40" i="25"/>
  <c r="AC37" i="26"/>
  <c r="AC45" i="26" s="1"/>
  <c r="AC46" i="26" s="1"/>
  <c r="AC51" i="26" s="1"/>
  <c r="U37" i="26"/>
  <c r="U45" i="26" s="1"/>
  <c r="U46" i="26" s="1"/>
  <c r="U51" i="26" s="1"/>
  <c r="AI37" i="26"/>
  <c r="AI45" i="26" s="1"/>
  <c r="AI46" i="26" s="1"/>
  <c r="AI51" i="26" s="1"/>
  <c r="AN40" i="26"/>
  <c r="AM42" i="26"/>
  <c r="AN45" i="26" s="1"/>
  <c r="AN46" i="26" s="1"/>
  <c r="AN51" i="26" s="1"/>
  <c r="T37" i="26"/>
  <c r="AA37" i="26"/>
  <c r="AA45" i="26" s="1"/>
  <c r="AA46" i="26" s="1"/>
  <c r="AA51" i="26" s="1"/>
  <c r="AG37" i="26"/>
  <c r="AG45" i="26" s="1"/>
  <c r="AG46" i="26" s="1"/>
  <c r="AG51" i="26" s="1"/>
  <c r="Y37" i="26"/>
  <c r="Y45" i="26" s="1"/>
  <c r="Y46" i="26" s="1"/>
  <c r="Y51" i="26" s="1"/>
  <c r="AM45" i="26"/>
  <c r="AM46" i="26" s="1"/>
  <c r="AM51" i="26" s="1"/>
  <c r="AF37" i="26"/>
  <c r="AF45" i="26" s="1"/>
  <c r="AF46" i="26" s="1"/>
  <c r="AF51" i="26" s="1"/>
  <c r="AH37" i="26"/>
  <c r="AH45" i="26" s="1"/>
  <c r="AH46" i="26" s="1"/>
  <c r="AH51" i="26" s="1"/>
  <c r="AE37" i="26"/>
  <c r="AE45" i="26" s="1"/>
  <c r="AE46" i="26" s="1"/>
  <c r="AE51" i="26" s="1"/>
  <c r="AD37" i="26"/>
  <c r="AD45" i="26" s="1"/>
  <c r="AD46" i="26" s="1"/>
  <c r="AD51" i="26" s="1"/>
  <c r="AJ37" i="26"/>
  <c r="Z37" i="26"/>
  <c r="Z45" i="26" s="1"/>
  <c r="Z46" i="26" s="1"/>
  <c r="Z51" i="26" s="1"/>
  <c r="X37" i="26"/>
  <c r="X45" i="26" s="1"/>
  <c r="X46" i="26" s="1"/>
  <c r="X51" i="26" s="1"/>
  <c r="W37" i="26"/>
  <c r="W45" i="26" s="1"/>
  <c r="W46" i="26" s="1"/>
  <c r="W51" i="26" s="1"/>
  <c r="V37" i="26"/>
  <c r="V45" i="26" s="1"/>
  <c r="V46" i="26" s="1"/>
  <c r="V51" i="26" s="1"/>
  <c r="AB37" i="26"/>
  <c r="AB45" i="26" s="1"/>
  <c r="AB46" i="26" s="1"/>
  <c r="AB51" i="26" s="1"/>
  <c r="AW45" i="7"/>
  <c r="AW46" i="7" s="1"/>
  <c r="AW51" i="7" s="1"/>
  <c r="AV56" i="7" s="1"/>
  <c r="AW49" i="7"/>
  <c r="AW42" i="7"/>
  <c r="AX45" i="7" s="1"/>
  <c r="AX46" i="7" s="1"/>
  <c r="AX51" i="7" s="1"/>
  <c r="AU42" i="25"/>
  <c r="AV45" i="25" s="1"/>
  <c r="AU49" i="25"/>
  <c r="AM37" i="25"/>
  <c r="AM45" i="25" s="1"/>
  <c r="AM46" i="25" s="1"/>
  <c r="AM51" i="25" s="1"/>
  <c r="AI37" i="25"/>
  <c r="AI45" i="25"/>
  <c r="AI46" i="25" s="1"/>
  <c r="AI51" i="25" s="1"/>
  <c r="AS37" i="25"/>
  <c r="AS46" i="25" s="1"/>
  <c r="AS51" i="25" s="1"/>
  <c r="AO37" i="25"/>
  <c r="AQ37" i="25"/>
  <c r="AR37" i="25"/>
  <c r="AR46" i="25" s="1"/>
  <c r="AR51" i="25" s="1"/>
  <c r="AU51" i="25"/>
  <c r="AF37" i="25"/>
  <c r="AF45" i="25" s="1"/>
  <c r="AF46" i="25" s="1"/>
  <c r="AF51" i="25" s="1"/>
  <c r="AY37" i="25"/>
  <c r="AB37" i="25"/>
  <c r="AB45" i="25" s="1"/>
  <c r="AB46" i="25" s="1"/>
  <c r="AB51" i="25" s="1"/>
  <c r="AK37" i="25"/>
  <c r="AK45" i="25" s="1"/>
  <c r="AK46" i="25" s="1"/>
  <c r="AK51" i="25" s="1"/>
  <c r="Y37" i="25"/>
  <c r="Y45" i="25" s="1"/>
  <c r="Y46" i="25" s="1"/>
  <c r="Y51" i="25" s="1"/>
  <c r="AE37" i="25"/>
  <c r="AE45" i="25" s="1"/>
  <c r="AE46" i="25" s="1"/>
  <c r="AE51" i="25" s="1"/>
  <c r="AH37" i="25"/>
  <c r="AH45" i="25" s="1"/>
  <c r="AH46" i="25" s="1"/>
  <c r="AH51" i="25" s="1"/>
  <c r="AJ37" i="25"/>
  <c r="AJ45" i="25" s="1"/>
  <c r="AJ46" i="25" s="1"/>
  <c r="AJ51" i="25" s="1"/>
  <c r="AA45" i="25"/>
  <c r="AA46" i="25" s="1"/>
  <c r="AA51" i="25" s="1"/>
  <c r="AX37" i="25"/>
  <c r="U37" i="25"/>
  <c r="U45" i="25" s="1"/>
  <c r="U46" i="25" s="1"/>
  <c r="U51" i="25" s="1"/>
  <c r="X37" i="25"/>
  <c r="X45" i="25" s="1"/>
  <c r="X46" i="25" s="1"/>
  <c r="X51" i="25" s="1"/>
  <c r="AA37" i="25"/>
  <c r="AN37" i="25"/>
  <c r="AN45" i="25" s="1"/>
  <c r="AN46" i="25" s="1"/>
  <c r="AN51" i="25" s="1"/>
  <c r="AP37" i="25"/>
  <c r="W37" i="25"/>
  <c r="W45" i="25" s="1"/>
  <c r="W46" i="25" s="1"/>
  <c r="W51" i="25" s="1"/>
  <c r="AC37" i="25"/>
  <c r="AC45" i="25" s="1"/>
  <c r="AC46" i="25" s="1"/>
  <c r="AC51" i="25" s="1"/>
  <c r="AV49" i="7"/>
  <c r="AW42" i="9"/>
  <c r="AJ45" i="26" l="1"/>
  <c r="AJ46" i="26" s="1"/>
  <c r="AJ51" i="26" s="1"/>
  <c r="AO40" i="26"/>
  <c r="AN42" i="26"/>
  <c r="AO45" i="26" s="1"/>
  <c r="AN49" i="26"/>
  <c r="AV46" i="25"/>
  <c r="AV51" i="25" s="1"/>
  <c r="AV54" i="25" s="1"/>
  <c r="AQ51" i="25"/>
  <c r="AW51" i="25"/>
  <c r="AW54" i="25" s="1"/>
  <c r="AV49" i="25"/>
  <c r="AO42" i="26" l="1"/>
  <c r="AP45" i="26" s="1"/>
  <c r="AO49" i="26"/>
  <c r="AP40" i="26"/>
  <c r="AW42" i="25"/>
  <c r="AX45" i="25" s="1"/>
  <c r="AW49" i="25"/>
  <c r="AP49" i="26" l="1"/>
  <c r="AQ40" i="26"/>
  <c r="AP42" i="26"/>
  <c r="AQ45" i="26" s="1"/>
  <c r="AX46" i="25"/>
  <c r="AX51" i="25" s="1"/>
  <c r="AQ46" i="26" l="1"/>
  <c r="AQ51" i="26" s="1"/>
  <c r="AQ49" i="26"/>
  <c r="AR40" i="26"/>
  <c r="AR42" i="26" s="1"/>
  <c r="AS45" i="26" s="1"/>
  <c r="AQ42" i="26"/>
  <c r="AV56" i="25"/>
  <c r="AV58" i="25" s="1"/>
  <c r="AX54" i="25"/>
  <c r="AR45" i="26" l="1"/>
  <c r="AR46" i="26" s="1"/>
  <c r="AR51" i="26" s="1"/>
  <c r="AS40" i="26"/>
  <c r="AR49" i="26"/>
  <c r="AS46" i="26"/>
  <c r="AS51" i="26" s="1"/>
  <c r="AT40" i="26" l="1"/>
  <c r="AS49" i="26"/>
  <c r="AS42" i="26"/>
  <c r="AT45" i="26" s="1"/>
  <c r="AU40" i="26" l="1"/>
  <c r="AT49" i="26"/>
  <c r="AT42" i="26"/>
  <c r="AU45" i="26" l="1"/>
  <c r="AU46" i="26" s="1"/>
  <c r="AU51" i="26" s="1"/>
  <c r="AV40" i="26"/>
  <c r="AW40" i="26" s="1"/>
  <c r="AW42" i="26" s="1"/>
  <c r="AX45" i="26" s="1"/>
  <c r="AU49" i="26"/>
  <c r="AV46" i="26" l="1"/>
  <c r="AV51" i="26" s="1"/>
  <c r="AV54" i="26" s="1"/>
  <c r="AV49" i="26"/>
  <c r="AV42" i="26"/>
  <c r="AW45" i="26" l="1"/>
  <c r="AW46" i="26" s="1"/>
  <c r="AW51" i="26" s="1"/>
  <c r="AW54" i="26" s="1"/>
  <c r="AW49" i="26"/>
  <c r="AK55" i="26" s="1"/>
  <c r="AX46" i="26"/>
  <c r="AX51" i="26" s="1"/>
  <c r="AX54" i="26" s="1"/>
  <c r="AV56" i="26" l="1"/>
  <c r="AV58" i="26" s="1"/>
</calcChain>
</file>

<file path=xl/sharedStrings.xml><?xml version="1.0" encoding="utf-8"?>
<sst xmlns="http://schemas.openxmlformats.org/spreadsheetml/2006/main" count="1132" uniqueCount="186">
  <si>
    <t>10+</t>
  </si>
  <si>
    <t>sino a x TM</t>
  </si>
  <si>
    <t>L. 388/2000 (art. 69)</t>
  </si>
  <si>
    <t>Indicizzazione per scaglioni progressivi, L. 730/1983 (art. 21),  L. 41/1986 (art. 24, commi 4 e 5) confermata da L. 503/1992 (art. 11)</t>
  </si>
  <si>
    <t>L. 730/1983 (art. 21), L. 41/1986 (art. 24, commi 4 e 5) confermata da L. 503/1992 (art. 11)</t>
  </si>
  <si>
    <t>L. 147/2013 (coma 483, articolo unico) e L. 208/2015</t>
  </si>
  <si>
    <t>hp.</t>
  </si>
  <si>
    <t>L. 145/2018 (comma 260, articolo unico)</t>
  </si>
  <si>
    <t>L. 160/2019 (comma 477, articolo unico)</t>
  </si>
  <si>
    <t>95-97</t>
  </si>
  <si>
    <t>98-00</t>
  </si>
  <si>
    <t>01-07</t>
  </si>
  <si>
    <t>08-10</t>
  </si>
  <si>
    <t>12-13</t>
  </si>
  <si>
    <t>20-21</t>
  </si>
  <si>
    <t>15-18</t>
  </si>
  <si>
    <t>2011</t>
  </si>
  <si>
    <t>L. 388/2000 (art. 69). Ritorna in vigore</t>
  </si>
  <si>
    <t>Indicizzazione con riferimento al complesso dei redditi pensionistici AGO, L. 448/1998 (art. 36, comma 1)</t>
  </si>
  <si>
    <t>Indicizzazione per fasce di importo complessivo o "secca"</t>
  </si>
  <si>
    <t>L. 160/2019 (comma 478, articolo unico). Stessa indicizzazione del periodo 2001-2007 a meno del quarto scaglione passato da 90% a 100%</t>
  </si>
  <si>
    <t>Note:</t>
  </si>
  <si>
    <t>DL 201/2011 (art. 24, comma 25, con riduzione del "trascinamento" che la rivalutazione per il biennio 2012-2013 ha dal 2014 in poi) e DL 65/2015 (di modifica del DL 201/2011 per recepire Sentenza Cort. Cost. 70/2015)</t>
  </si>
  <si>
    <t>L. 147/2013 (coma 483, articolo unico) e L. 208/2025 (differimento conguagli)</t>
  </si>
  <si>
    <t>L. 197/2022 (comma 309, articolo unico). Ai redditi sino a TM è riconosciuta indicizzazione aggiuntiva straordinaria e temporanea (vale solo per il 2023 e non fa base per l'indicizzazione degli anni successivi) dell'1,5% (6,4% se età &gt;= 75 anni)</t>
  </si>
  <si>
    <t>L. 213/2023 (comma 135, articolo unico). Ai redditi sino a TM è riconosciuta indicizzazione aggiuntiva straordinaria e temporanea (si veda sopra) del 2,7%</t>
  </si>
  <si>
    <t>L. 160/2019 (comma 478, articolo unico). Ritornato in vigore. Ai redditi sino a TM è riconosciuta indicizzazione aggiuntiva straordinaria e temporanea (si veda sopra) del 1,3%</t>
  </si>
  <si>
    <t>L. 160/2019 (comma 478, articolo unico). Ritornato in vigore. Ai redditi sino a TM è riconosciuta indicizzazione aggiuntiva straordinaria e temporanea del 2,2%</t>
  </si>
  <si>
    <r>
      <t>Per il 2014 le pensioni superiori a 6xTM sono indicizzate solo su un importo di 6xTM,</t>
    </r>
    <r>
      <rPr>
        <i/>
        <sz val="11"/>
        <color theme="1"/>
        <rFont val="Calibri Light"/>
        <family val="2"/>
      </rPr>
      <t xml:space="preserve"> i.e. </t>
    </r>
    <r>
      <rPr>
        <sz val="11"/>
        <color theme="1"/>
        <rFont val="Calibri Light"/>
        <family val="2"/>
      </rPr>
      <t>ricevono una somma fissa di circa 13 euro lorde. La base indicizzabile dell'anno dopo è data invece dall'applicazione di tutte le fasce</t>
    </r>
  </si>
  <si>
    <t>Classe di Reddito pensionistico</t>
  </si>
  <si>
    <t>Numero pensionati</t>
  </si>
  <si>
    <t>Reddito medio mensile</t>
  </si>
  <si>
    <t> Reddito complessivo annuo</t>
  </si>
  <si>
    <t>sino a 1 volta il TM</t>
  </si>
  <si>
    <t>tra 1 e 2 volte il TM</t>
  </si>
  <si>
    <t>tra 2 e 3 volte il TM</t>
  </si>
  <si>
    <t>tra 3 e 4 volte il TM</t>
  </si>
  <si>
    <t>tra 4 e 5 volte il TM</t>
  </si>
  <si>
    <t>tra 5 e 6 volte il TM</t>
  </si>
  <si>
    <t>tra 6 e 7 volte il TM</t>
  </si>
  <si>
    <t>tra 7 e 8 volte il TM</t>
  </si>
  <si>
    <t>tra 8 e 9 volte il TM</t>
  </si>
  <si>
    <t>tra 9 e 10 volte il TM</t>
  </si>
  <si>
    <t>oltre 10 volte il TM</t>
  </si>
  <si>
    <t>Totale</t>
  </si>
  <si>
    <t>2022 (da INPS)</t>
  </si>
  <si>
    <t>11+</t>
  </si>
  <si>
    <t>Numero di pensionati</t>
  </si>
  <si>
    <t>Reddito
complessivo annuo</t>
  </si>
  <si>
    <t>Densità di pensionati per fasce di reddito da pensione in x TM</t>
  </si>
  <si>
    <t xml:space="preserve"> </t>
  </si>
  <si>
    <t>Elasticità al punto di inflazione</t>
  </si>
  <si>
    <t>hp. 2026</t>
  </si>
  <si>
    <t>FOI s.t.</t>
  </si>
  <si>
    <t>Osservatorio: Beneficiari - Pensionati di vecchiaia</t>
  </si>
  <si>
    <t>Filtri:</t>
  </si>
  <si>
    <t>Anno:2022</t>
  </si>
  <si>
    <t xml:space="preserve">
                            </t>
  </si>
  <si>
    <t xml:space="preserve">
                                                Cerca
                            </t>
  </si>
  <si>
    <t xml:space="preserve">
                                                  Entra in MyInps
                            </t>
  </si>
  <si>
    <t>Tipologia</t>
  </si>
  <si>
    <t xml:space="preserve">Numero pensionati </t>
  </si>
  <si>
    <t xml:space="preserve">Importo complessivo annuo pensioni di vecchiaia (milioni di euro) </t>
  </si>
  <si>
    <t xml:space="preserve">Importo complessivo annuo pensioni altre tipologie (milioni di euro) </t>
  </si>
  <si>
    <t xml:space="preserve">Reddito pensionistico complessivo annuo (milioni di euro) </t>
  </si>
  <si>
    <t xml:space="preserve">Reddito pensionistico medio annuo (euro) </t>
  </si>
  <si>
    <t>Una o piu' pensioni di vecchiaia</t>
  </si>
  <si>
    <t xml:space="preserve">- </t>
  </si>
  <si>
    <t>Cumulo con altri tipi di pensione</t>
  </si>
  <si>
    <t xml:space="preserve">Importo complessivo annuo pensioni di invaliditÃ  (milioni di euro) </t>
  </si>
  <si>
    <t>Una o piu' pensioni di invalidita</t>
  </si>
  <si>
    <t>Osservatorio: Beneficiari - Beneficiari di pensioni ai superstiti</t>
  </si>
  <si>
    <t xml:space="preserve">Importo complessivo annuo pensioni ai superstiti (milioni di euro) </t>
  </si>
  <si>
    <t>Una o piu' pensioni ai superstiti</t>
  </si>
  <si>
    <t>Osservatorio: Beneficiari - Pensionati di invalidità</t>
  </si>
  <si>
    <t>da INPS</t>
  </si>
  <si>
    <t>GUARDARE ALLA SPESA</t>
  </si>
  <si>
    <t>La somma del numero dei pensionati dei vari tipi non coincide con il totale dei pensionati in quanto, per effetto della possibilità di cumulo di più prestazioni appartenenti anche a tipi diversi, un pensionato può ricadere in più tipi a seconda delle prestazioni ricevute; analogamente, la somma del numero delle pensioni corrispondenti non coincide con il totale delle pensioni.</t>
  </si>
  <si>
    <t>Spesa per pensioni IVS (mln)</t>
  </si>
  <si>
    <t>Corr. per Rendite infortunistiche</t>
  </si>
  <si>
    <t>Corr. per Mortalità</t>
  </si>
  <si>
    <t>Anno</t>
  </si>
  <si>
    <t>Osservatorio: Beneficiari - Pensionati di invaliditÃ </t>
  </si>
  <si>
    <t>77 anni</t>
  </si>
  <si>
    <t>https://www.istat.it/tavole-di-dati/prezzi-al-consumo-dati/</t>
  </si>
  <si>
    <t>Spesa per rivalutazione</t>
  </si>
  <si>
    <t>Spesa per rivalutazione, elasticità costante</t>
  </si>
  <si>
    <t>Dato INPS</t>
  </si>
  <si>
    <t>Spesa per pensioni &amp; rendite ISTAT CPS (mln)</t>
  </si>
  <si>
    <t>Spesa pensioni IVS (stima)</t>
  </si>
  <si>
    <t>Spesa rivalutazione pensioni IVS (stima, dx)</t>
  </si>
  <si>
    <t>Osservatorio: Monitoraggio dei flussi di pensionamento - Dati trimestrali per regione e gestione</t>
  </si>
  <si>
    <t>Categoria:Vecchiaia</t>
  </si>
  <si>
    <t>Categoria:Anticipata</t>
  </si>
  <si>
    <t>Categoria:Invalidita'</t>
  </si>
  <si>
    <t>Categoria:Superstiti</t>
  </si>
  <si>
    <t>Tipo Gestione</t>
  </si>
  <si>
    <t xml:space="preserve">Importo medio alla decorrenza (in euro) </t>
  </si>
  <si>
    <t xml:space="preserve">Numero pensioni </t>
  </si>
  <si>
    <t>FPLD comprese le gestioni a contabilitÃ  separata</t>
  </si>
  <si>
    <t>Autonomi (compresi i Parasubordinati)</t>
  </si>
  <si>
    <t>Gestione Dipendenti Pubblici</t>
  </si>
  <si>
    <t>Fondi Speciali</t>
  </si>
  <si>
    <t>Corr. per Mortalità (chi sopravvive l'anno dopo)</t>
  </si>
  <si>
    <t>Elasticità equivalenti per fascia</t>
  </si>
  <si>
    <t>(pensioni lavoratori dipendenti e autonomi)</t>
  </si>
  <si>
    <t>Trattamento minimo dal 1995 al 2001</t>
  </si>
  <si>
    <t>1 x TM</t>
  </si>
  <si>
    <t>ULTIMO RETRIBUTIVO</t>
  </si>
  <si>
    <t>Osservatorio: Pensioni vigenti - Pensioni per anno di decorrenza</t>
  </si>
  <si>
    <t>Anno:2025</t>
  </si>
  <si>
    <t>Categoria:Superstite</t>
  </si>
  <si>
    <t>Anno di decorrenza:1995</t>
  </si>
  <si>
    <t>Anno di decorrenza:1996</t>
  </si>
  <si>
    <t>Anno di decorrenza:1997</t>
  </si>
  <si>
    <t>Anno di decorrenza:1998</t>
  </si>
  <si>
    <t>Anno di decorrenza:1999</t>
  </si>
  <si>
    <t>Anno di decorrenza:2000</t>
  </si>
  <si>
    <t>Anno di decorrenza:2001</t>
  </si>
  <si>
    <t>Anno di decorrenza:2002</t>
  </si>
  <si>
    <t>Anno di decorrenza:2003</t>
  </si>
  <si>
    <t>Anno di decorrenza:2004</t>
  </si>
  <si>
    <t>Anno di decorrenza:2005</t>
  </si>
  <si>
    <t>Anno di decorrenza:2006</t>
  </si>
  <si>
    <t>Anno di decorrenza:2007</t>
  </si>
  <si>
    <t>Anno di decorrenza:2008</t>
  </si>
  <si>
    <t>Anno di decorrenza:2009</t>
  </si>
  <si>
    <t>Anno di decorrenza:2010</t>
  </si>
  <si>
    <t>Anno di decorrenza:2011</t>
  </si>
  <si>
    <t>Anno di decorrenza:2012</t>
  </si>
  <si>
    <t>Anno di decorrenza:2013</t>
  </si>
  <si>
    <t>Anno di decorrenza:2014</t>
  </si>
  <si>
    <t>Anno di decorrenza:2015</t>
  </si>
  <si>
    <t>Anno di decorrenza:2016</t>
  </si>
  <si>
    <t>Anno di decorrenza:2017</t>
  </si>
  <si>
    <t>Anno di decorrenza:2018</t>
  </si>
  <si>
    <t>Anno di decorrenza:2019</t>
  </si>
  <si>
    <t>Anno di decorrenza:2020</t>
  </si>
  <si>
    <t>Anno di decorrenza:2021</t>
  </si>
  <si>
    <t>Anno di decorrenza:2022</t>
  </si>
  <si>
    <t>Anno di decorrenza:2023</t>
  </si>
  <si>
    <t>Anno di decorrenza:2024</t>
  </si>
  <si>
    <t xml:space="preserve">  </t>
  </si>
  <si>
    <t>Categoria</t>
  </si>
  <si>
    <t xml:space="preserve">EtÃ  media alla decorrenza </t>
  </si>
  <si>
    <t xml:space="preserve">Numero Pensioni </t>
  </si>
  <si>
    <t xml:space="preserve">Importo medio mensile </t>
  </si>
  <si>
    <t xml:space="preserve">Importo medio mensile alla decorrenza </t>
  </si>
  <si>
    <t>Vecchiaia</t>
  </si>
  <si>
    <t>Invalidita'</t>
  </si>
  <si>
    <t>Superstite</t>
  </si>
  <si>
    <t>DECORRENZA</t>
  </si>
  <si>
    <t>NUMERO</t>
  </si>
  <si>
    <t>Vecchiaia&amp;Anzianità</t>
  </si>
  <si>
    <t>Categoria:Inabilita'</t>
  </si>
  <si>
    <t>Anno decorrenza</t>
  </si>
  <si>
    <t>Inabilita'</t>
  </si>
  <si>
    <t>Invalidità</t>
  </si>
  <si>
    <t>PASSAGGIO</t>
  </si>
  <si>
    <t>Cumulata Totale</t>
  </si>
  <si>
    <t>DL 81/2007 e poi L. 247/1997 (art. 1 , comma 19). Nel 2008, la rivalutazione dei redditi superiori a 8xTM è interamente congelata (a loro non si applicano scaglioni progressivi)</t>
  </si>
  <si>
    <t>L. 449/1997 (art. 59, comma 13).  Nel 19988, la rivalutazione dei redditi superiori a 5xTM è interamente congelata (a loro non si applicano scaglioni progressivi)</t>
  </si>
  <si>
    <t>MODULO DA RICALCOLARE OGNI VOLTA ANNO PER ANNO</t>
  </si>
  <si>
    <t>chi sopravvive l'anno dopo</t>
  </si>
  <si>
    <t>Cumulata V&amp;A</t>
  </si>
  <si>
    <t>dati INPS</t>
  </si>
  <si>
    <t>4 x TM (euro, scala dx)</t>
  </si>
  <si>
    <t>elab. Reforming.it su normativa</t>
  </si>
  <si>
    <t>DL 201/2011 (art. 24, comma 25, con riduzione del "trascinamento" che la rivalutazione per il biennio 2012-2013 ha dal 2014 in poi)</t>
  </si>
  <si>
    <t xml:space="preserve"> e DL 65/2015 (di modifica del DL 201/2011 per recepire Sentenza Cort. Cost. 70/2015)</t>
  </si>
  <si>
    <t xml:space="preserve">DL 81/2007 e poi L. 247/1997 (art. 1 , comma 19). Nel 2008, la rivalutazione dei redditi superiori a 8xTM è interamente congelata </t>
  </si>
  <si>
    <t>(a loro non si applicano scaglioni progressivi)</t>
  </si>
  <si>
    <r>
      <t>Per il 2014 le pensioni superiori a 6xTM sono indicizzate solo su un importo di 6xTM,</t>
    </r>
    <r>
      <rPr>
        <i/>
        <sz val="11"/>
        <color theme="1"/>
        <rFont val="Calibri Light"/>
        <family val="2"/>
      </rPr>
      <t xml:space="preserve"> </t>
    </r>
  </si>
  <si>
    <r>
      <rPr>
        <i/>
        <sz val="11"/>
        <color theme="1"/>
        <rFont val="Calibri Light"/>
        <family val="2"/>
      </rPr>
      <t>i.e.</t>
    </r>
    <r>
      <rPr>
        <sz val="11"/>
        <color theme="1"/>
        <rFont val="Calibri Light"/>
        <family val="2"/>
      </rPr>
      <t xml:space="preserve"> ricevono una somma fissa di circa 13 euro lorde. La base indicizzabile dell'anno dopo è data invece dall'applicazione di tutte le fasce</t>
    </r>
  </si>
  <si>
    <t xml:space="preserve"> Stessa indicizzazione del periodo 2001-2007 a meno del quarto scaglione passato da 90% a 100%</t>
  </si>
  <si>
    <t>L. 197/2022 (comma 309, articolo unico). Ai redditi sino a TM è riconosciuta indicizzazione aggiuntiva straordinaria e temporanea</t>
  </si>
  <si>
    <t>(vale solo per il 2023 e non fa base per l'indicizzazione degli anni successivi) dell'1,5% (6,4% se età &gt;= 75 anni)</t>
  </si>
  <si>
    <t>L. 160/2019 (comma 478, articolo unico). Ritornato in vigore. Ai redditi sino a TM è riconosciuta indicizzazione aggiuntiva straordinaria e temporanea</t>
  </si>
  <si>
    <r>
      <t>= Rivalutazione interamente congelata (</t>
    </r>
    <r>
      <rPr>
        <i/>
        <sz val="11"/>
        <color theme="1"/>
        <rFont val="Calibri Light"/>
        <family val="2"/>
      </rPr>
      <t xml:space="preserve">cfr. </t>
    </r>
    <r>
      <rPr>
        <sz val="11"/>
        <color theme="1"/>
        <rFont val="Calibri Light"/>
        <family val="2"/>
      </rPr>
      <t>le Note)</t>
    </r>
  </si>
  <si>
    <r>
      <t>= Prima della sentenza della Cor. Cost., l'elasticità per queste fasce era pari a zero (</t>
    </r>
    <r>
      <rPr>
        <i/>
        <sz val="11"/>
        <color theme="1"/>
        <rFont val="Calibri Light"/>
        <family val="2"/>
      </rPr>
      <t xml:space="preserve">cfr. </t>
    </r>
    <r>
      <rPr>
        <sz val="11"/>
        <color theme="1"/>
        <rFont val="Calibri Light"/>
        <family val="2"/>
      </rPr>
      <t>le Note)</t>
    </r>
  </si>
  <si>
    <t>L. 160/2019 (comma 478, articolo unico)</t>
  </si>
  <si>
    <t>L. 449/1997 (art. 59, comma 13).  Nel 1998, la rivalutazione dei redditi superiori a 5xTM è interamente congelata</t>
  </si>
  <si>
    <t>L. 213/2023 (comma 135, articolo unico). Ai redditi sino a TM è riconosciuta indicizzazione aggiuntiva straordinaria e temporanea</t>
  </si>
  <si>
    <t>(vale solo per il 2024 e non fa base per l'indicizzazione degli anni successivi) del 2,7%</t>
  </si>
  <si>
    <t>(vale solo per il 2025 e non fa base per l'indicizzazione degli anni successivi) del 2,2%</t>
  </si>
  <si>
    <t>(vale solo per il 2026 e non fa base per l'indicizzazione degli anni successivi) dell'1,3%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</si>
</sst>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  <numFmt numFmtId="167" formatCode="0.000"/>
    <numFmt numFmtId="168" formatCode="0.0000"/>
  </numFmts>
  <fonts count="61" x14ac:knownFonts="1"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b/>
      <sz val="11"/>
      <color rgb="FFFFFFFF"/>
      <name val="Calibri Light"/>
      <family val="2"/>
    </font>
    <font>
      <b/>
      <sz val="11"/>
      <color theme="1"/>
      <name val="Calibri Light"/>
      <family val="2"/>
    </font>
    <font>
      <b/>
      <sz val="11"/>
      <color rgb="FFF8F8F8"/>
      <name val="Calibri Light"/>
      <family val="2"/>
    </font>
    <font>
      <sz val="11"/>
      <color theme="0"/>
      <name val="Calibri Light"/>
      <family val="2"/>
    </font>
    <font>
      <b/>
      <sz val="11"/>
      <color theme="0"/>
      <name val="Calibri Light"/>
      <family val="2"/>
    </font>
    <font>
      <u/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name val="Aptos Narrow"/>
      <family val="2"/>
      <scheme val="minor"/>
    </font>
    <font>
      <i/>
      <sz val="11"/>
      <color theme="1"/>
      <name val="Calibri Light"/>
      <family val="2"/>
    </font>
    <font>
      <b/>
      <sz val="8"/>
      <color theme="0"/>
      <name val="Calibri Light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rgb="FF0070C0"/>
      <name val="Aptos Display"/>
      <family val="2"/>
      <scheme val="major"/>
    </font>
    <font>
      <b/>
      <sz val="10"/>
      <color rgb="FF00000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b/>
      <sz val="8"/>
      <color rgb="FF424242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theme="1"/>
      <name val="Calibri Light"/>
      <family val="2"/>
    </font>
    <font>
      <sz val="10"/>
      <color rgb="FFFFFFFF"/>
      <name val="Calibri Light"/>
      <family val="2"/>
    </font>
    <font>
      <sz val="10"/>
      <color rgb="FFF8F8F8"/>
      <name val="Calibri Light"/>
      <family val="2"/>
    </font>
    <font>
      <sz val="10"/>
      <color theme="0"/>
      <name val="Calibri Light"/>
      <family val="2"/>
    </font>
    <font>
      <b/>
      <sz val="11"/>
      <color rgb="FFFF000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Calibri Light"/>
      <family val="2"/>
    </font>
    <font>
      <sz val="8"/>
      <color theme="1"/>
      <name val="Calibri Light"/>
      <family val="2"/>
    </font>
    <font>
      <b/>
      <sz val="11"/>
      <color rgb="FFC00000"/>
      <name val="Aptos Narrow"/>
      <family val="2"/>
      <scheme val="min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10"/>
      <color rgb="FFC00000"/>
      <name val="Calibri Light"/>
      <family val="2"/>
    </font>
    <font>
      <b/>
      <sz val="10"/>
      <color rgb="FFC00000"/>
      <name val="Calibri Light"/>
      <family val="2"/>
    </font>
    <font>
      <sz val="10"/>
      <color rgb="FFC00000"/>
      <name val="Aptos Display"/>
      <family val="2"/>
      <scheme val="major"/>
    </font>
    <font>
      <b/>
      <sz val="11"/>
      <color rgb="FF007BB8"/>
      <name val="Calibri Light"/>
      <family val="2"/>
    </font>
    <font>
      <b/>
      <sz val="8"/>
      <color theme="2" tint="-0.499984740745262"/>
      <name val="Calibri Light"/>
      <family val="2"/>
    </font>
    <font>
      <sz val="12"/>
      <color rgb="FF2061A2"/>
      <name val="Verdana"/>
      <family val="2"/>
    </font>
    <font>
      <b/>
      <sz val="12"/>
      <color rgb="FF2061A2"/>
      <name val="Verdana"/>
      <family val="2"/>
    </font>
    <font>
      <sz val="16.5"/>
      <color rgb="FF333333"/>
      <name val="Aptos Narrow"/>
      <family val="2"/>
      <scheme val="minor"/>
    </font>
    <font>
      <b/>
      <sz val="11"/>
      <color rgb="FFC00000"/>
      <name val="Calibri Light"/>
      <family val="2"/>
    </font>
    <font>
      <b/>
      <sz val="11"/>
      <color rgb="FF767676"/>
      <name val="Arial"/>
      <family val="2"/>
    </font>
    <font>
      <b/>
      <sz val="11"/>
      <color indexed="8"/>
      <name val="Calibri Light"/>
      <family val="2"/>
    </font>
    <font>
      <b/>
      <sz val="8"/>
      <color indexed="8"/>
      <name val="Calibri Light"/>
      <family val="2"/>
    </font>
    <font>
      <b/>
      <sz val="9"/>
      <color indexed="8"/>
      <name val="Calibri Light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rgb="FF6373BA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lightUp">
        <bgColor theme="0"/>
      </patternFill>
    </fill>
    <fill>
      <patternFill patternType="gray06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8F8F8"/>
      </left>
      <right style="thick">
        <color rgb="FFF8F8F8"/>
      </right>
      <top style="thick">
        <color rgb="FFF8F8F8"/>
      </top>
      <bottom style="thick">
        <color rgb="FFF8F8F8"/>
      </bottom>
      <diagonal/>
    </border>
    <border>
      <left style="thick">
        <color rgb="FFF8F8F8"/>
      </left>
      <right/>
      <top style="thick">
        <color rgb="FFF8F8F8"/>
      </top>
      <bottom style="thick">
        <color rgb="FFF8F8F8"/>
      </bottom>
      <diagonal/>
    </border>
    <border>
      <left/>
      <right/>
      <top style="thick">
        <color rgb="FFF8F8F8"/>
      </top>
      <bottom style="thick">
        <color rgb="FFF8F8F8"/>
      </bottom>
      <diagonal/>
    </border>
    <border>
      <left/>
      <right style="thick">
        <color rgb="FFF8F8F8"/>
      </right>
      <top style="thick">
        <color rgb="FFF8F8F8"/>
      </top>
      <bottom style="thick">
        <color rgb="FFF8F8F8"/>
      </bottom>
      <diagonal/>
    </border>
    <border>
      <left/>
      <right/>
      <top/>
      <bottom style="thin">
        <color indexed="64"/>
      </bottom>
      <diagonal/>
    </border>
    <border>
      <left style="thick">
        <color rgb="FFF8F8F8"/>
      </left>
      <right/>
      <top style="thick">
        <color rgb="FFF8F8F8"/>
      </top>
      <bottom/>
      <diagonal/>
    </border>
    <border>
      <left/>
      <right/>
      <top style="thick">
        <color rgb="FFF8F8F8"/>
      </top>
      <bottom/>
      <diagonal/>
    </border>
    <border>
      <left style="thick">
        <color rgb="FFF8F8F8"/>
      </left>
      <right/>
      <top/>
      <bottom/>
      <diagonal/>
    </border>
    <border>
      <left style="thick">
        <color rgb="FFF8F8F8"/>
      </left>
      <right/>
      <top/>
      <bottom style="thin">
        <color indexed="64"/>
      </bottom>
      <diagonal/>
    </border>
    <border>
      <left style="thick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 tint="-4.9989318521683403E-2"/>
      </right>
      <top/>
      <bottom style="thin">
        <color indexed="64"/>
      </bottom>
      <diagonal/>
    </border>
    <border>
      <left style="thin">
        <color indexed="64"/>
      </left>
      <right style="thick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ck">
        <color theme="0" tint="-4.9989318521683403E-2"/>
      </left>
      <right style="thin">
        <color indexed="64"/>
      </right>
      <top style="thin">
        <color indexed="64"/>
      </top>
      <bottom style="thick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 tint="-4.9989318521683403E-2"/>
      </bottom>
      <diagonal/>
    </border>
    <border>
      <left style="thin">
        <color indexed="64"/>
      </left>
      <right style="thick">
        <color theme="0" tint="-4.9989318521683403E-2"/>
      </right>
      <top style="thin">
        <color indexed="64"/>
      </top>
      <bottom style="thick">
        <color theme="0" tint="-4.9989318521683403E-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8F8F8"/>
      </right>
      <top style="thick">
        <color rgb="FFF8F8F8"/>
      </top>
      <bottom/>
      <diagonal/>
    </border>
    <border>
      <left style="thick">
        <color rgb="FFF8F8F8"/>
      </left>
      <right style="thick">
        <color rgb="FFF8F8F8"/>
      </right>
      <top style="thick">
        <color rgb="FFF8F8F8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ck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ck">
        <color theme="0" tint="-4.9989318521683403E-2"/>
      </left>
      <right style="thin">
        <color indexed="64"/>
      </right>
      <top/>
      <bottom/>
      <diagonal/>
    </border>
    <border>
      <left style="thick">
        <color theme="0" tint="-4.9989318521683403E-2"/>
      </left>
      <right style="thin">
        <color indexed="64"/>
      </right>
      <top/>
      <bottom style="thick">
        <color theme="0" tint="-4.9989318521683403E-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0"/>
      </top>
      <bottom/>
      <diagonal/>
    </border>
  </borders>
  <cellStyleXfs count="49">
    <xf numFmtId="0" fontId="0" fillId="0" borderId="0"/>
    <xf numFmtId="0" fontId="13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25" applyNumberFormat="0" applyAlignment="0" applyProtection="0"/>
    <xf numFmtId="0" fontId="21" fillId="22" borderId="26" applyNumberFormat="0" applyAlignment="0" applyProtection="0"/>
    <xf numFmtId="0" fontId="22" fillId="22" borderId="25" applyNumberFormat="0" applyAlignment="0" applyProtection="0"/>
    <xf numFmtId="0" fontId="23" fillId="0" borderId="27" applyNumberFormat="0" applyFill="0" applyAlignment="0" applyProtection="0"/>
    <xf numFmtId="0" fontId="24" fillId="23" borderId="28" applyNumberFormat="0" applyAlignment="0" applyProtection="0"/>
    <xf numFmtId="0" fontId="25" fillId="0" borderId="0" applyNumberFormat="0" applyFill="0" applyBorder="0" applyAlignment="0" applyProtection="0"/>
    <xf numFmtId="0" fontId="12" fillId="24" borderId="2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30" applyNumberFormat="0" applyFill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2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28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28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0" fontId="28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0" fontId="29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0" fillId="0" borderId="0"/>
    <xf numFmtId="0" fontId="42" fillId="0" borderId="0" applyNumberFormat="0" applyFill="0" applyBorder="0" applyAlignment="0" applyProtection="0"/>
  </cellStyleXfs>
  <cellXfs count="223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7" fillId="0" borderId="4" xfId="0" applyFont="1" applyBorder="1" applyAlignment="1">
      <alignment horizontal="center" vertical="center"/>
    </xf>
    <xf numFmtId="0" fontId="1" fillId="2" borderId="2" xfId="0" applyFont="1" applyFill="1" applyBorder="1"/>
    <xf numFmtId="0" fontId="1" fillId="2" borderId="5" xfId="0" applyFont="1" applyFill="1" applyBorder="1"/>
    <xf numFmtId="0" fontId="1" fillId="9" borderId="5" xfId="0" applyFont="1" applyFill="1" applyBorder="1"/>
    <xf numFmtId="0" fontId="1" fillId="6" borderId="5" xfId="0" applyFont="1" applyFill="1" applyBorder="1"/>
    <xf numFmtId="0" fontId="1" fillId="7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4" fillId="13" borderId="5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10" fillId="2" borderId="0" xfId="0" applyFont="1" applyFill="1"/>
    <xf numFmtId="0" fontId="5" fillId="16" borderId="5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6" fontId="11" fillId="4" borderId="3" xfId="0" quotePrefix="1" applyNumberFormat="1" applyFont="1" applyFill="1" applyBorder="1" applyAlignment="1">
      <alignment horizontal="center" vertical="center"/>
    </xf>
    <xf numFmtId="0" fontId="8" fillId="5" borderId="3" xfId="0" quotePrefix="1" applyFont="1" applyFill="1" applyBorder="1" applyAlignment="1">
      <alignment horizontal="center" vertical="center"/>
    </xf>
    <xf numFmtId="0" fontId="11" fillId="10" borderId="3" xfId="0" quotePrefix="1" applyFont="1" applyFill="1" applyBorder="1" applyAlignment="1">
      <alignment horizontal="center" vertical="center"/>
    </xf>
    <xf numFmtId="0" fontId="11" fillId="11" borderId="3" xfId="0" quotePrefix="1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5" borderId="3" xfId="0" quotePrefix="1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horizontal="center"/>
    </xf>
    <xf numFmtId="0" fontId="11" fillId="17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0" xfId="0" applyFill="1"/>
    <xf numFmtId="0" fontId="1" fillId="7" borderId="8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3" fontId="31" fillId="2" borderId="1" xfId="42" applyNumberFormat="1" applyFont="1" applyFill="1" applyBorder="1" applyAlignment="1">
      <alignment horizontal="center" vertical="center" wrapText="1"/>
    </xf>
    <xf numFmtId="0" fontId="32" fillId="2" borderId="1" xfId="42" applyFont="1" applyFill="1" applyBorder="1" applyAlignment="1">
      <alignment horizontal="center" vertical="center" wrapText="1"/>
    </xf>
    <xf numFmtId="0" fontId="31" fillId="2" borderId="1" xfId="42" applyFont="1" applyFill="1" applyBorder="1" applyAlignment="1">
      <alignment horizontal="center" vertical="center" wrapText="1"/>
    </xf>
    <xf numFmtId="4" fontId="32" fillId="2" borderId="1" xfId="42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31" fillId="2" borderId="1" xfId="42" applyFont="1" applyFill="1" applyBorder="1" applyAlignment="1">
      <alignment horizontal="left" vertical="center" wrapText="1"/>
    </xf>
    <xf numFmtId="0" fontId="30" fillId="49" borderId="1" xfId="42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165" fontId="1" fillId="0" borderId="0" xfId="0" applyNumberFormat="1" applyFont="1"/>
    <xf numFmtId="3" fontId="34" fillId="49" borderId="1" xfId="42" applyNumberFormat="1" applyFont="1" applyFill="1" applyBorder="1" applyAlignment="1">
      <alignment horizontal="center" vertical="center" wrapText="1"/>
    </xf>
    <xf numFmtId="10" fontId="34" fillId="49" borderId="1" xfId="45" applyNumberFormat="1" applyFont="1" applyFill="1" applyBorder="1"/>
    <xf numFmtId="0" fontId="35" fillId="2" borderId="5" xfId="0" applyFont="1" applyFill="1" applyBorder="1" applyAlignment="1">
      <alignment vertical="center"/>
    </xf>
    <xf numFmtId="164" fontId="0" fillId="0" borderId="0" xfId="44" applyNumberFormat="1" applyFont="1"/>
    <xf numFmtId="0" fontId="36" fillId="4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8" fillId="16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27" fillId="0" borderId="0" xfId="0" applyFont="1"/>
    <xf numFmtId="0" fontId="35" fillId="7" borderId="8" xfId="0" applyFont="1" applyFill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165" fontId="35" fillId="0" borderId="1" xfId="0" applyNumberFormat="1" applyFont="1" applyBorder="1"/>
    <xf numFmtId="0" fontId="36" fillId="10" borderId="5" xfId="0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0" borderId="1" xfId="0" applyFont="1" applyBorder="1"/>
    <xf numFmtId="0" fontId="36" fillId="11" borderId="5" xfId="0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39" fillId="0" borderId="0" xfId="0" applyFont="1"/>
    <xf numFmtId="3" fontId="40" fillId="0" borderId="1" xfId="47" applyNumberFormat="1" applyBorder="1" applyAlignment="1">
      <alignment horizontal="right"/>
    </xf>
    <xf numFmtId="43" fontId="27" fillId="0" borderId="0" xfId="44" applyFont="1"/>
    <xf numFmtId="166" fontId="41" fillId="0" borderId="0" xfId="45" applyNumberFormat="1" applyFont="1"/>
    <xf numFmtId="10" fontId="1" fillId="0" borderId="0" xfId="0" applyNumberFormat="1" applyFont="1"/>
    <xf numFmtId="0" fontId="42" fillId="0" borderId="0" xfId="48"/>
    <xf numFmtId="165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/>
    <xf numFmtId="0" fontId="1" fillId="50" borderId="1" xfId="0" applyFont="1" applyFill="1" applyBorder="1" applyAlignment="1">
      <alignment horizontal="left"/>
    </xf>
    <xf numFmtId="0" fontId="1" fillId="50" borderId="1" xfId="0" applyFont="1" applyFill="1" applyBorder="1"/>
    <xf numFmtId="0" fontId="1" fillId="51" borderId="1" xfId="0" applyFont="1" applyFill="1" applyBorder="1"/>
    <xf numFmtId="0" fontId="1" fillId="3" borderId="1" xfId="0" quotePrefix="1" applyFont="1" applyFill="1" applyBorder="1" applyAlignment="1">
      <alignment horizontal="left" readingOrder="1"/>
    </xf>
    <xf numFmtId="0" fontId="3" fillId="3" borderId="1" xfId="0" applyFont="1" applyFill="1" applyBorder="1"/>
    <xf numFmtId="0" fontId="3" fillId="50" borderId="1" xfId="0" applyFont="1" applyFill="1" applyBorder="1"/>
    <xf numFmtId="0" fontId="43" fillId="0" borderId="1" xfId="0" applyFont="1" applyBorder="1"/>
    <xf numFmtId="164" fontId="44" fillId="51" borderId="1" xfId="44" applyNumberFormat="1" applyFont="1" applyFill="1" applyBorder="1"/>
    <xf numFmtId="0" fontId="1" fillId="6" borderId="35" xfId="0" applyFont="1" applyFill="1" applyBorder="1"/>
    <xf numFmtId="164" fontId="44" fillId="0" borderId="1" xfId="0" applyNumberFormat="1" applyFont="1" applyBorder="1"/>
    <xf numFmtId="0" fontId="43" fillId="0" borderId="1" xfId="0" applyFont="1" applyBorder="1" applyAlignment="1">
      <alignment horizontal="center"/>
    </xf>
    <xf numFmtId="10" fontId="0" fillId="0" borderId="0" xfId="0" applyNumberFormat="1"/>
    <xf numFmtId="43" fontId="0" fillId="0" borderId="0" xfId="44" applyFont="1"/>
    <xf numFmtId="43" fontId="45" fillId="0" borderId="0" xfId="0" applyNumberFormat="1" applyFont="1"/>
    <xf numFmtId="164" fontId="46" fillId="51" borderId="1" xfId="44" applyNumberFormat="1" applyFont="1" applyFill="1" applyBorder="1"/>
    <xf numFmtId="164" fontId="46" fillId="3" borderId="1" xfId="44" applyNumberFormat="1" applyFont="1" applyFill="1" applyBorder="1"/>
    <xf numFmtId="164" fontId="47" fillId="3" borderId="1" xfId="44" applyNumberFormat="1" applyFont="1" applyFill="1" applyBorder="1"/>
    <xf numFmtId="10" fontId="3" fillId="0" borderId="0" xfId="0" applyNumberFormat="1" applyFont="1"/>
    <xf numFmtId="164" fontId="0" fillId="0" borderId="0" xfId="0" applyNumberFormat="1"/>
    <xf numFmtId="0" fontId="49" fillId="0" borderId="1" xfId="0" applyFont="1" applyBorder="1"/>
    <xf numFmtId="164" fontId="35" fillId="3" borderId="1" xfId="44" applyNumberFormat="1" applyFont="1" applyFill="1" applyBorder="1"/>
    <xf numFmtId="164" fontId="43" fillId="3" borderId="1" xfId="44" applyNumberFormat="1" applyFont="1" applyFill="1" applyBorder="1"/>
    <xf numFmtId="165" fontId="48" fillId="0" borderId="1" xfId="0" applyNumberFormat="1" applyFont="1" applyBorder="1"/>
    <xf numFmtId="10" fontId="50" fillId="49" borderId="1" xfId="45" applyNumberFormat="1" applyFont="1" applyFill="1" applyBorder="1"/>
    <xf numFmtId="165" fontId="1" fillId="2" borderId="1" xfId="0" applyNumberFormat="1" applyFont="1" applyFill="1" applyBorder="1"/>
    <xf numFmtId="165" fontId="1" fillId="2" borderId="16" xfId="0" applyNumberFormat="1" applyFont="1" applyFill="1" applyBorder="1"/>
    <xf numFmtId="165" fontId="1" fillId="2" borderId="18" xfId="0" applyNumberFormat="1" applyFont="1" applyFill="1" applyBorder="1"/>
    <xf numFmtId="1" fontId="3" fillId="2" borderId="2" xfId="0" applyNumberFormat="1" applyFont="1" applyFill="1" applyBorder="1"/>
    <xf numFmtId="1" fontId="3" fillId="2" borderId="15" xfId="0" applyNumberFormat="1" applyFont="1" applyFill="1" applyBorder="1"/>
    <xf numFmtId="1" fontId="3" fillId="2" borderId="1" xfId="0" applyNumberFormat="1" applyFont="1" applyFill="1" applyBorder="1"/>
    <xf numFmtId="1" fontId="3" fillId="2" borderId="16" xfId="0" applyNumberFormat="1" applyFont="1" applyFill="1" applyBorder="1"/>
    <xf numFmtId="0" fontId="3" fillId="0" borderId="1" xfId="0" applyFont="1" applyBorder="1" applyAlignment="1">
      <alignment horizontal="center"/>
    </xf>
    <xf numFmtId="167" fontId="1" fillId="0" borderId="1" xfId="0" applyNumberFormat="1" applyFont="1" applyBorder="1"/>
    <xf numFmtId="168" fontId="1" fillId="0" borderId="1" xfId="0" applyNumberFormat="1" applyFont="1" applyBorder="1"/>
    <xf numFmtId="165" fontId="51" fillId="0" borderId="1" xfId="0" applyNumberFormat="1" applyFont="1" applyBorder="1"/>
    <xf numFmtId="10" fontId="11" fillId="0" borderId="1" xfId="45" applyNumberFormat="1" applyFont="1" applyBorder="1"/>
    <xf numFmtId="10" fontId="52" fillId="0" borderId="1" xfId="45" applyNumberFormat="1" applyFont="1" applyBorder="1"/>
    <xf numFmtId="2" fontId="1" fillId="0" borderId="1" xfId="0" applyNumberFormat="1" applyFont="1" applyBorder="1"/>
    <xf numFmtId="0" fontId="54" fillId="52" borderId="36" xfId="0" applyFont="1" applyFill="1" applyBorder="1" applyAlignment="1">
      <alignment horizontal="center" vertical="center" wrapText="1"/>
    </xf>
    <xf numFmtId="4" fontId="53" fillId="52" borderId="36" xfId="0" applyNumberFormat="1" applyFont="1" applyFill="1" applyBorder="1" applyAlignment="1">
      <alignment horizontal="center" vertical="center" wrapText="1"/>
    </xf>
    <xf numFmtId="3" fontId="53" fillId="52" borderId="36" xfId="0" applyNumberFormat="1" applyFont="1" applyFill="1" applyBorder="1" applyAlignment="1">
      <alignment horizontal="center" vertical="center" wrapText="1"/>
    </xf>
    <xf numFmtId="2" fontId="53" fillId="52" borderId="36" xfId="0" applyNumberFormat="1" applyFont="1" applyFill="1" applyBorder="1" applyAlignment="1">
      <alignment horizontal="center" vertical="center" wrapText="1"/>
    </xf>
    <xf numFmtId="10" fontId="0" fillId="0" borderId="0" xfId="45" applyNumberFormat="1" applyFont="1"/>
    <xf numFmtId="2" fontId="0" fillId="0" borderId="0" xfId="0" applyNumberFormat="1"/>
    <xf numFmtId="164" fontId="0" fillId="0" borderId="1" xfId="44" applyNumberFormat="1" applyFont="1" applyBorder="1"/>
    <xf numFmtId="164" fontId="1" fillId="2" borderId="1" xfId="44" applyNumberFormat="1" applyFont="1" applyFill="1" applyBorder="1"/>
    <xf numFmtId="164" fontId="1" fillId="0" borderId="1" xfId="0" applyNumberFormat="1" applyFont="1" applyBorder="1"/>
    <xf numFmtId="0" fontId="3" fillId="2" borderId="0" xfId="0" applyFont="1" applyFill="1" applyAlignment="1">
      <alignment horizontal="center" vertical="center" textRotation="90"/>
    </xf>
    <xf numFmtId="2" fontId="48" fillId="0" borderId="1" xfId="0" applyNumberFormat="1" applyFont="1" applyBorder="1"/>
    <xf numFmtId="0" fontId="1" fillId="53" borderId="1" xfId="0" applyFont="1" applyFill="1" applyBorder="1" applyAlignment="1">
      <alignment horizontal="right"/>
    </xf>
    <xf numFmtId="165" fontId="35" fillId="2" borderId="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0" fontId="35" fillId="2" borderId="0" xfId="0" applyFont="1" applyFill="1" applyAlignment="1">
      <alignment horizontal="center"/>
    </xf>
    <xf numFmtId="165" fontId="35" fillId="2" borderId="0" xfId="0" applyNumberFormat="1" applyFont="1" applyFill="1" applyAlignment="1">
      <alignment horizontal="center" vertical="center"/>
    </xf>
    <xf numFmtId="165" fontId="48" fillId="2" borderId="1" xfId="0" applyNumberFormat="1" applyFont="1" applyFill="1" applyBorder="1" applyAlignment="1">
      <alignment horizontal="center" vertical="center"/>
    </xf>
    <xf numFmtId="2" fontId="48" fillId="54" borderId="1" xfId="0" applyNumberFormat="1" applyFont="1" applyFill="1" applyBorder="1"/>
    <xf numFmtId="164" fontId="1" fillId="0" borderId="0" xfId="0" applyNumberFormat="1" applyFont="1"/>
    <xf numFmtId="164" fontId="44" fillId="0" borderId="0" xfId="0" applyNumberFormat="1" applyFont="1"/>
    <xf numFmtId="0" fontId="1" fillId="55" borderId="1" xfId="0" applyFont="1" applyFill="1" applyBorder="1"/>
    <xf numFmtId="165" fontId="1" fillId="55" borderId="1" xfId="0" applyNumberFormat="1" applyFont="1" applyFill="1" applyBorder="1"/>
    <xf numFmtId="2" fontId="49" fillId="54" borderId="1" xfId="0" applyNumberFormat="1" applyFont="1" applyFill="1" applyBorder="1"/>
    <xf numFmtId="0" fontId="44" fillId="0" borderId="1" xfId="0" applyFont="1" applyBorder="1"/>
    <xf numFmtId="164" fontId="44" fillId="0" borderId="1" xfId="44" applyNumberFormat="1" applyFont="1" applyBorder="1"/>
    <xf numFmtId="3" fontId="57" fillId="0" borderId="0" xfId="0" applyNumberFormat="1" applyFont="1"/>
    <xf numFmtId="3" fontId="58" fillId="0" borderId="1" xfId="47" applyNumberFormat="1" applyFont="1" applyBorder="1" applyAlignment="1">
      <alignment horizontal="right"/>
    </xf>
    <xf numFmtId="0" fontId="3" fillId="0" borderId="1" xfId="0" applyFont="1" applyBorder="1"/>
    <xf numFmtId="3" fontId="59" fillId="0" borderId="1" xfId="47" applyNumberFormat="1" applyFont="1" applyBorder="1" applyAlignment="1">
      <alignment horizontal="right"/>
    </xf>
    <xf numFmtId="0" fontId="8" fillId="0" borderId="1" xfId="0" applyFont="1" applyBorder="1"/>
    <xf numFmtId="3" fontId="60" fillId="0" borderId="1" xfId="47" applyNumberFormat="1" applyFont="1" applyBorder="1" applyAlignment="1">
      <alignment horizontal="right"/>
    </xf>
    <xf numFmtId="0" fontId="47" fillId="0" borderId="1" xfId="0" applyFont="1" applyBorder="1"/>
    <xf numFmtId="2" fontId="48" fillId="0" borderId="31" xfId="0" applyNumberFormat="1" applyFont="1" applyBorder="1"/>
    <xf numFmtId="0" fontId="35" fillId="0" borderId="4" xfId="0" applyFont="1" applyBorder="1"/>
    <xf numFmtId="0" fontId="1" fillId="55" borderId="2" xfId="0" applyFont="1" applyFill="1" applyBorder="1"/>
    <xf numFmtId="2" fontId="48" fillId="0" borderId="4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" fillId="6" borderId="8" xfId="0" applyFont="1" applyFill="1" applyBorder="1"/>
    <xf numFmtId="0" fontId="3" fillId="2" borderId="0" xfId="0" applyFont="1" applyFill="1"/>
    <xf numFmtId="0" fontId="1" fillId="2" borderId="7" xfId="0" applyFont="1" applyFill="1" applyBorder="1"/>
    <xf numFmtId="0" fontId="1" fillId="2" borderId="8" xfId="0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1" fillId="9" borderId="8" xfId="0" applyFont="1" applyFill="1" applyBorder="1"/>
    <xf numFmtId="0" fontId="1" fillId="8" borderId="5" xfId="0" applyFont="1" applyFill="1" applyBorder="1"/>
    <xf numFmtId="0" fontId="3" fillId="2" borderId="0" xfId="0" applyFont="1" applyFill="1" applyAlignment="1">
      <alignment horizontal="center"/>
    </xf>
    <xf numFmtId="0" fontId="3" fillId="53" borderId="1" xfId="0" applyFont="1" applyFill="1" applyBorder="1"/>
    <xf numFmtId="0" fontId="3" fillId="53" borderId="18" xfId="0" applyFont="1" applyFill="1" applyBorder="1"/>
    <xf numFmtId="0" fontId="8" fillId="12" borderId="20" xfId="0" applyFont="1" applyFill="1" applyBorder="1" applyAlignment="1">
      <alignment horizontal="center" vertical="center"/>
    </xf>
    <xf numFmtId="0" fontId="8" fillId="12" borderId="2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3" fillId="2" borderId="31" xfId="42" applyFont="1" applyFill="1" applyBorder="1" applyAlignment="1">
      <alignment horizontal="center" vertical="center" wrapText="1"/>
    </xf>
    <xf numFmtId="0" fontId="33" fillId="2" borderId="32" xfId="42" applyFont="1" applyFill="1" applyBorder="1" applyAlignment="1">
      <alignment horizontal="center" vertical="center" wrapText="1"/>
    </xf>
    <xf numFmtId="0" fontId="33" fillId="2" borderId="33" xfId="42" applyFont="1" applyFill="1" applyBorder="1" applyAlignment="1">
      <alignment horizontal="center" vertical="center" wrapText="1"/>
    </xf>
    <xf numFmtId="0" fontId="31" fillId="49" borderId="1" xfId="42" applyFont="1" applyFill="1" applyBorder="1" applyAlignment="1">
      <alignment horizontal="left" vertical="center" wrapText="1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 textRotation="90"/>
    </xf>
    <xf numFmtId="0" fontId="1" fillId="2" borderId="17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1" fillId="2" borderId="38" xfId="0" applyFont="1" applyFill="1" applyBorder="1" applyAlignment="1">
      <alignment horizontal="center" vertical="center" textRotation="90"/>
    </xf>
    <xf numFmtId="0" fontId="1" fillId="2" borderId="39" xfId="0" applyFont="1" applyFill="1" applyBorder="1" applyAlignment="1">
      <alignment horizontal="center" vertical="center" textRotation="90"/>
    </xf>
    <xf numFmtId="0" fontId="1" fillId="2" borderId="40" xfId="0" applyFont="1" applyFill="1" applyBorder="1" applyAlignment="1">
      <alignment horizontal="center" vertical="center" textRotation="90"/>
    </xf>
    <xf numFmtId="0" fontId="56" fillId="1" borderId="41" xfId="0" applyFont="1" applyFill="1" applyBorder="1" applyAlignment="1">
      <alignment horizontal="center" vertical="center" textRotation="90" wrapText="1"/>
    </xf>
    <xf numFmtId="0" fontId="35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textRotation="90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55" fillId="0" borderId="37" xfId="0" applyFont="1" applyBorder="1" applyAlignment="1">
      <alignment horizontal="center" vertical="center"/>
    </xf>
    <xf numFmtId="0" fontId="0" fillId="0" borderId="37" xfId="0" applyBorder="1"/>
    <xf numFmtId="0" fontId="53" fillId="0" borderId="0" xfId="0" applyFont="1" applyAlignment="1">
      <alignment horizontal="center" vertical="center"/>
    </xf>
    <xf numFmtId="0" fontId="0" fillId="0" borderId="0" xfId="0"/>
    <xf numFmtId="0" fontId="10" fillId="2" borderId="0" xfId="0" applyFont="1" applyFill="1" applyAlignment="1">
      <alignment horizontal="center" vertical="center" textRotation="90"/>
    </xf>
    <xf numFmtId="0" fontId="3" fillId="2" borderId="0" xfId="0" applyFont="1" applyFill="1" applyBorder="1" applyAlignment="1">
      <alignment horizontal="center" vertical="center" textRotation="90"/>
    </xf>
    <xf numFmtId="0" fontId="8" fillId="12" borderId="4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2" borderId="0" xfId="0" quotePrefix="1" applyFont="1" applyFill="1"/>
  </cellXfs>
  <cellStyles count="49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8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4" builtinId="3"/>
    <cellStyle name="Migliaia 2" xfId="43" xr:uid="{826C9227-4C5C-494C-8294-91550C116E9F}"/>
    <cellStyle name="Migliaia 3" xfId="46" xr:uid="{A63C6210-0F4C-4861-B439-5C0EA35B6315}"/>
    <cellStyle name="Neutrale" xfId="8" builtinId="28" customBuiltin="1"/>
    <cellStyle name="Normale" xfId="0" builtinId="0"/>
    <cellStyle name="Normale 2" xfId="42" xr:uid="{F333FA36-B567-42EF-8151-1CA45B118594}"/>
    <cellStyle name="Normale 3" xfId="47" xr:uid="{6C441C73-7F58-42B3-8844-AE1BD0788BAF}"/>
    <cellStyle name="Nota" xfId="15" builtinId="10" customBuiltin="1"/>
    <cellStyle name="Output" xfId="10" builtinId="21" customBuiltin="1"/>
    <cellStyle name="Percentuale" xfId="45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8F8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elasticità'!$I$11:$I$21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0.27127253505016136</c:v>
                </c:pt>
                <c:pt idx="2">
                  <c:v>0.24453382051805383</c:v>
                </c:pt>
                <c:pt idx="3">
                  <c:v>0.1687448554594369</c:v>
                </c:pt>
                <c:pt idx="4">
                  <c:v>0.10720535660216973</c:v>
                </c:pt>
                <c:pt idx="5">
                  <c:v>5.1494397917736696E-2</c:v>
                </c:pt>
                <c:pt idx="6">
                  <c:v>2.5719408627352471E-2</c:v>
                </c:pt>
                <c:pt idx="7">
                  <c:v>1.3420031691491294E-2</c:v>
                </c:pt>
                <c:pt idx="8">
                  <c:v>8.0791014464149137E-3</c:v>
                </c:pt>
                <c:pt idx="9">
                  <c:v>5.8090554006742009E-3</c:v>
                </c:pt>
                <c:pt idx="10">
                  <c:v>1.6837856977847357E-2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1-4106-A07E-8DA8D9A92FDB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elasticità'!$J$11:$J$21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0.35815611535882258</c:v>
                </c:pt>
                <c:pt idx="2">
                  <c:v>0.60268993587687647</c:v>
                </c:pt>
                <c:pt idx="3">
                  <c:v>0.77143479133631332</c:v>
                </c:pt>
                <c:pt idx="4">
                  <c:v>0.87864014793848311</c:v>
                </c:pt>
                <c:pt idx="5">
                  <c:v>0.9301345458562198</c:v>
                </c:pt>
                <c:pt idx="6">
                  <c:v>0.95585395448357224</c:v>
                </c:pt>
                <c:pt idx="7">
                  <c:v>0.96927398617506355</c:v>
                </c:pt>
                <c:pt idx="8">
                  <c:v>0.97735308762147843</c:v>
                </c:pt>
                <c:pt idx="9">
                  <c:v>0.98316214302215266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1-4106-A07E-8DA8D9A9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462478463316007"/>
          <c:h val="6.62743914673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 (2)'!$H$11:$H$21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 (2)'!$K$11:$K$21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0.13004368320422824</c:v>
                </c:pt>
                <c:pt idx="2">
                  <c:v>0.20392760575765045</c:v>
                </c:pt>
                <c:pt idx="3">
                  <c:v>0.19503275727143551</c:v>
                </c:pt>
                <c:pt idx="4">
                  <c:v>0.15919826871694887</c:v>
                </c:pt>
                <c:pt idx="5">
                  <c:v>9.326351028234349E-2</c:v>
                </c:pt>
                <c:pt idx="6">
                  <c:v>5.5137839521878153E-2</c:v>
                </c:pt>
                <c:pt idx="7">
                  <c:v>3.3280064631675821E-2</c:v>
                </c:pt>
                <c:pt idx="8">
                  <c:v>2.278140988119666E-2</c:v>
                </c:pt>
                <c:pt idx="9">
                  <c:v>1.8321071090149795E-2</c:v>
                </c:pt>
                <c:pt idx="10">
                  <c:v>7.4001965496692801E-2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3-4200-939F-C3F330EF4DD6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 (2)'!$H$11:$H$21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 (2)'!$L$11:$L$21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0.14505550735002842</c:v>
                </c:pt>
                <c:pt idx="2">
                  <c:v>0.34898311310767888</c:v>
                </c:pt>
                <c:pt idx="3">
                  <c:v>0.54401587037911436</c:v>
                </c:pt>
                <c:pt idx="4">
                  <c:v>0.70321413909606323</c:v>
                </c:pt>
                <c:pt idx="5">
                  <c:v>0.7964776493784067</c:v>
                </c:pt>
                <c:pt idx="6">
                  <c:v>0.85161548890028482</c:v>
                </c:pt>
                <c:pt idx="7">
                  <c:v>0.8848955535319607</c:v>
                </c:pt>
                <c:pt idx="8">
                  <c:v>0.9076769634131574</c:v>
                </c:pt>
                <c:pt idx="9">
                  <c:v>0.9259980345033072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3-4200-939F-C3F330EF4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033710629921258"/>
          <c:h val="6.6274385865521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'Elab. elasticità alt. (2)'!$S$37</c:f>
              <c:strCache>
                <c:ptCount val="1"/>
                <c:pt idx="0">
                  <c:v>Elasticità al punto di inflazione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383858863160176E-2"/>
                  <c:y val="0.248565258710113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3E-42C1-9371-A0EF993FA22C}"/>
                </c:ext>
              </c:extLst>
            </c:dLbl>
            <c:dLbl>
              <c:idx val="1"/>
              <c:layout>
                <c:manualLayout>
                  <c:x val="-1.7603909269174416E-2"/>
                  <c:y val="0.1065279680186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3E-42C1-9371-A0EF993FA22C}"/>
                </c:ext>
              </c:extLst>
            </c:dLbl>
            <c:dLbl>
              <c:idx val="2"/>
              <c:layout>
                <c:manualLayout>
                  <c:x val="-2.9339848781957351E-2"/>
                  <c:y val="-7.4964125642732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3E-42C1-9371-A0EF993FA22C}"/>
                </c:ext>
              </c:extLst>
            </c:dLbl>
            <c:dLbl>
              <c:idx val="3"/>
              <c:layout>
                <c:manualLayout>
                  <c:x val="3.9119798375943111E-3"/>
                  <c:y val="0.21305593603724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E-42C1-9371-A0EF993FA22C}"/>
                </c:ext>
              </c:extLst>
            </c:dLbl>
            <c:dLbl>
              <c:idx val="4"/>
              <c:layout>
                <c:manualLayout>
                  <c:x val="-1.1735939512782933E-2"/>
                  <c:y val="0.12230988920656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3E-42C1-9371-A0EF993FA22C}"/>
                </c:ext>
              </c:extLst>
            </c:dLbl>
            <c:dLbl>
              <c:idx val="5"/>
              <c:layout>
                <c:manualLayout>
                  <c:x val="3.9119798375943149E-2"/>
                  <c:y val="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3E-42C1-9371-A0EF993FA22C}"/>
                </c:ext>
              </c:extLst>
            </c:dLbl>
            <c:dLbl>
              <c:idx val="6"/>
              <c:layout>
                <c:manualLayout>
                  <c:x val="-3.9119798375943466E-3"/>
                  <c:y val="8.285508623670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3E-42C1-9371-A0EF993FA22C}"/>
                </c:ext>
              </c:extLst>
            </c:dLbl>
            <c:dLbl>
              <c:idx val="7"/>
              <c:layout>
                <c:manualLayout>
                  <c:x val="-3.5207818538348833E-2"/>
                  <c:y val="-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3E-42C1-9371-A0EF993FA22C}"/>
                </c:ext>
              </c:extLst>
            </c:dLbl>
            <c:dLbl>
              <c:idx val="8"/>
              <c:layout>
                <c:manualLayout>
                  <c:x val="1.760390926917433E-2"/>
                  <c:y val="0.110473448315606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3E-42C1-9371-A0EF993FA22C}"/>
                </c:ext>
              </c:extLst>
            </c:dLbl>
            <c:dLbl>
              <c:idx val="9"/>
              <c:layout>
                <c:manualLayout>
                  <c:x val="-3.3251828619551643E-2"/>
                  <c:y val="-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3E-42C1-9371-A0EF993FA22C}"/>
                </c:ext>
              </c:extLst>
            </c:dLbl>
            <c:dLbl>
              <c:idx val="10"/>
              <c:layout>
                <c:manualLayout>
                  <c:x val="1.9559899187971554E-2"/>
                  <c:y val="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3E-42C1-9371-A0EF993FA22C}"/>
                </c:ext>
              </c:extLst>
            </c:dLbl>
            <c:dLbl>
              <c:idx val="11"/>
              <c:layout>
                <c:manualLayout>
                  <c:x val="-7.8239596751886221E-3"/>
                  <c:y val="-0.1065279680186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3E-42C1-9371-A0EF993FA22C}"/>
                </c:ext>
              </c:extLst>
            </c:dLbl>
            <c:dLbl>
              <c:idx val="12"/>
              <c:layout>
                <c:manualLayout>
                  <c:x val="-2.5672583291932012E-2"/>
                  <c:y val="0.4598074713609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3E-42C1-9371-A0EF993FA22C}"/>
                </c:ext>
              </c:extLst>
            </c:dLbl>
            <c:dLbl>
              <c:idx val="13"/>
              <c:layout>
                <c:manualLayout>
                  <c:x val="5.9902639800645269E-3"/>
                  <c:y val="-0.178645655153048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3E-42C1-9371-A0EF993FA22C}"/>
                </c:ext>
              </c:extLst>
            </c:dLbl>
            <c:dLbl>
              <c:idx val="14"/>
              <c:layout>
                <c:manualLayout>
                  <c:x val="-7.1718801854176676E-17"/>
                  <c:y val="6.707316504876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3E-42C1-9371-A0EF993FA22C}"/>
                </c:ext>
              </c:extLst>
            </c:dLbl>
            <c:dLbl>
              <c:idx val="15"/>
              <c:layout>
                <c:manualLayout>
                  <c:x val="2.9339848781957334E-2"/>
                  <c:y val="-9.8637007424648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3E-42C1-9371-A0EF993FA22C}"/>
                </c:ext>
              </c:extLst>
            </c:dLbl>
            <c:dLbl>
              <c:idx val="16"/>
              <c:layout>
                <c:manualLayout>
                  <c:x val="2.5427868944362952E-2"/>
                  <c:y val="1.9727401484929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3E-42C1-9371-A0EF993FA22C}"/>
                </c:ext>
              </c:extLst>
            </c:dLbl>
            <c:dLbl>
              <c:idx val="17"/>
              <c:layout>
                <c:manualLayout>
                  <c:x val="-4.1075788294740269E-2"/>
                  <c:y val="0.14992825128546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3E-42C1-9371-A0EF993FA22C}"/>
                </c:ext>
              </c:extLst>
            </c:dLbl>
            <c:dLbl>
              <c:idx val="18"/>
              <c:layout>
                <c:manualLayout>
                  <c:x val="2.3471879025565939E-2"/>
                  <c:y val="0.12625536950354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3E-42C1-9371-A0EF993FA22C}"/>
                </c:ext>
              </c:extLst>
            </c:dLbl>
            <c:dLbl>
              <c:idx val="19"/>
              <c:layout>
                <c:manualLayout>
                  <c:x val="6.0635687482711823E-2"/>
                  <c:y val="0.153873731582451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3E-42C1-9371-A0EF993FA22C}"/>
                </c:ext>
              </c:extLst>
            </c:dLbl>
            <c:dLbl>
              <c:idx val="20"/>
              <c:layout>
                <c:manualLayout>
                  <c:x val="-7.8239596751886221E-3"/>
                  <c:y val="-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3E-42C1-9371-A0EF993FA22C}"/>
                </c:ext>
              </c:extLst>
            </c:dLbl>
            <c:dLbl>
              <c:idx val="21"/>
              <c:layout>
                <c:manualLayout>
                  <c:x val="7.8239596751886221E-3"/>
                  <c:y val="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3E-42C1-9371-A0EF993FA22C}"/>
                </c:ext>
              </c:extLst>
            </c:dLbl>
            <c:dLbl>
              <c:idx val="22"/>
              <c:layout>
                <c:manualLayout>
                  <c:x val="5.8679697563914668E-2"/>
                  <c:y val="0.11836440890957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3E-42C1-9371-A0EF993FA22C}"/>
                </c:ext>
              </c:extLst>
            </c:dLbl>
            <c:dLbl>
              <c:idx val="23"/>
              <c:layout>
                <c:manualLayout>
                  <c:x val="-5.8679697563914666E-3"/>
                  <c:y val="-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3E-42C1-9371-A0EF993FA22C}"/>
                </c:ext>
              </c:extLst>
            </c:dLbl>
            <c:dLbl>
              <c:idx val="24"/>
              <c:layout>
                <c:manualLayout>
                  <c:x val="-1.7603909269174399E-2"/>
                  <c:y val="4.340028326684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3E-42C1-9371-A0EF993FA22C}"/>
                </c:ext>
              </c:extLst>
            </c:dLbl>
            <c:dLbl>
              <c:idx val="25"/>
              <c:layout>
                <c:manualLayout>
                  <c:x val="-9.7799495939857768E-3"/>
                  <c:y val="-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3E-42C1-9371-A0EF993FA22C}"/>
                </c:ext>
              </c:extLst>
            </c:dLbl>
            <c:dLbl>
              <c:idx val="26"/>
              <c:layout>
                <c:manualLayout>
                  <c:x val="1.3691929431580088E-2"/>
                  <c:y val="0.224892376928198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3E-42C1-9371-A0EF993FA22C}"/>
                </c:ext>
              </c:extLst>
            </c:dLbl>
            <c:dLbl>
              <c:idx val="27"/>
              <c:layout>
                <c:manualLayout>
                  <c:x val="-1.4343760370835335E-16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3E-42C1-9371-A0EF993FA22C}"/>
                </c:ext>
              </c:extLst>
            </c:dLbl>
            <c:dLbl>
              <c:idx val="28"/>
              <c:layout>
                <c:manualLayout>
                  <c:x val="-3.9119798375943107E-2"/>
                  <c:y val="0.130200849800535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3E-42C1-9371-A0EF993FA22C}"/>
                </c:ext>
              </c:extLst>
            </c:dLbl>
            <c:dLbl>
              <c:idx val="29"/>
              <c:layout>
                <c:manualLayout>
                  <c:x val="3.3251828619551643E-2"/>
                  <c:y val="0.122309889206563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3E-42C1-9371-A0EF993FA22C}"/>
                </c:ext>
              </c:extLst>
            </c:dLbl>
            <c:dLbl>
              <c:idx val="30"/>
              <c:layout>
                <c:manualLayout>
                  <c:x val="-2.1515889106768712E-2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3E-42C1-9371-A0EF993FA22C}"/>
                </c:ext>
              </c:extLst>
            </c:dLbl>
            <c:dLbl>
              <c:idx val="31"/>
              <c:layout>
                <c:manualLayout>
                  <c:x val="0"/>
                  <c:y val="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3E-42C1-9371-A0EF993FA2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'Elab. elasticità alt. (2)'!$T$36:$AY$36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hp. 2026</c:v>
                </c:pt>
              </c:strCache>
            </c:strRef>
          </c:cat>
          <c:val>
            <c:numRef>
              <c:f>'Elab. elasticità alt. (2)'!$T$37:$AY$37</c:f>
              <c:numCache>
                <c:formatCode>0.00</c:formatCode>
                <c:ptCount val="32"/>
                <c:pt idx="0">
                  <c:v>91.937973712443608</c:v>
                </c:pt>
                <c:pt idx="1">
                  <c:v>91.937973712443608</c:v>
                </c:pt>
                <c:pt idx="2">
                  <c:v>91.937973712443608</c:v>
                </c:pt>
                <c:pt idx="3">
                  <c:v>66.979350517270348</c:v>
                </c:pt>
                <c:pt idx="4">
                  <c:v>87.272096705108581</c:v>
                </c:pt>
                <c:pt idx="5">
                  <c:v>87.272096705108581</c:v>
                </c:pt>
                <c:pt idx="6">
                  <c:v>96.132101755077116</c:v>
                </c:pt>
                <c:pt idx="7">
                  <c:v>96.132101755077116</c:v>
                </c:pt>
                <c:pt idx="8">
                  <c:v>96.132101755077116</c:v>
                </c:pt>
                <c:pt idx="9">
                  <c:v>96.132101755077116</c:v>
                </c:pt>
                <c:pt idx="10">
                  <c:v>96.132101755077116</c:v>
                </c:pt>
                <c:pt idx="11">
                  <c:v>96.132101755077116</c:v>
                </c:pt>
                <c:pt idx="12">
                  <c:v>96.132101755077116</c:v>
                </c:pt>
                <c:pt idx="13">
                  <c:v>87.68215603757794</c:v>
                </c:pt>
                <c:pt idx="14">
                  <c:v>97.772052760820813</c:v>
                </c:pt>
                <c:pt idx="15">
                  <c:v>97.772052760820813</c:v>
                </c:pt>
                <c:pt idx="16">
                  <c:v>96.132101755077116</c:v>
                </c:pt>
                <c:pt idx="17">
                  <c:v>46.816222078787717</c:v>
                </c:pt>
                <c:pt idx="18">
                  <c:v>46.816222078787717</c:v>
                </c:pt>
                <c:pt idx="19">
                  <c:v>72.234982500317713</c:v>
                </c:pt>
                <c:pt idx="20">
                  <c:v>79.18797469741429</c:v>
                </c:pt>
                <c:pt idx="21">
                  <c:v>79.18797469741429</c:v>
                </c:pt>
                <c:pt idx="22">
                  <c:v>79.18797469741429</c:v>
                </c:pt>
                <c:pt idx="23">
                  <c:v>79.18797469741429</c:v>
                </c:pt>
                <c:pt idx="24">
                  <c:v>79.798184395328661</c:v>
                </c:pt>
                <c:pt idx="25">
                  <c:v>80.383282667142964</c:v>
                </c:pt>
                <c:pt idx="26">
                  <c:v>80.383282667142964</c:v>
                </c:pt>
                <c:pt idx="27">
                  <c:v>97.179829852906238</c:v>
                </c:pt>
                <c:pt idx="28">
                  <c:v>97.179829852906238</c:v>
                </c:pt>
                <c:pt idx="29">
                  <c:v>97.179829852906238</c:v>
                </c:pt>
                <c:pt idx="30">
                  <c:v>97.179829852906238</c:v>
                </c:pt>
                <c:pt idx="31">
                  <c:v>97.179829852906238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63E-42C1-9371-A0EF993FA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47791"/>
        <c:axId val="919951631"/>
      </c:lineChart>
      <c:catAx>
        <c:axId val="91994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51631"/>
        <c:crosses val="autoZero"/>
        <c:auto val="1"/>
        <c:lblAlgn val="ctr"/>
        <c:lblOffset val="100"/>
        <c:noMultiLvlLbl val="0"/>
      </c:catAx>
      <c:valAx>
        <c:axId val="919951631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4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4096528600534"/>
          <c:y val="2.2602968990949414E-2"/>
          <c:w val="0.82120089289217035"/>
          <c:h val="0.76887358441838705"/>
        </c:manualLayout>
      </c:layout>
      <c:lineChart>
        <c:grouping val="standard"/>
        <c:varyColors val="0"/>
        <c:ser>
          <c:idx val="0"/>
          <c:order val="0"/>
          <c:tx>
            <c:strRef>
              <c:f>'Elab. elasticità alt. (2)'!$S$49</c:f>
              <c:strCache>
                <c:ptCount val="1"/>
                <c:pt idx="0">
                  <c:v>Spesa pensioni IVS (stima)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645946090104516E-2"/>
                  <c:y val="-0.28806593696443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9-40CA-B0C1-82E88F5D37D2}"/>
                </c:ext>
              </c:extLst>
            </c:dLbl>
            <c:dLbl>
              <c:idx val="29"/>
              <c:layout>
                <c:manualLayout>
                  <c:x val="-0.12429377240896827"/>
                  <c:y val="1.55056594101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9-40CA-B0C1-82E88F5D3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'Elab. elasticità alt. (2)'!$T$48:$AX$48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 alt. (2)'!$T$49:$AX$49</c:f>
              <c:numCache>
                <c:formatCode>_-* #,##0_-;\-* #,##0_-;_-* "-"??_-;_-@_-</c:formatCode>
                <c:ptCount val="31"/>
                <c:pt idx="0">
                  <c:v>123060.97499999999</c:v>
                </c:pt>
                <c:pt idx="1">
                  <c:v>135171.54999999999</c:v>
                </c:pt>
                <c:pt idx="2">
                  <c:v>146417.29499999998</c:v>
                </c:pt>
                <c:pt idx="3">
                  <c:v>148333.12</c:v>
                </c:pt>
                <c:pt idx="4">
                  <c:v>156796.24</c:v>
                </c:pt>
                <c:pt idx="5">
                  <c:v>160908.61499999999</c:v>
                </c:pt>
                <c:pt idx="6">
                  <c:v>168511.83</c:v>
                </c:pt>
                <c:pt idx="7">
                  <c:v>176599.66500000001</c:v>
                </c:pt>
                <c:pt idx="8">
                  <c:v>183860.1</c:v>
                </c:pt>
                <c:pt idx="9">
                  <c:v>191187.51499999998</c:v>
                </c:pt>
                <c:pt idx="10">
                  <c:v>198020.46</c:v>
                </c:pt>
                <c:pt idx="11">
                  <c:v>204616.02</c:v>
                </c:pt>
                <c:pt idx="12">
                  <c:v>212443.815</c:v>
                </c:pt>
                <c:pt idx="13">
                  <c:v>220806.465</c:v>
                </c:pt>
                <c:pt idx="14">
                  <c:v>229552.28</c:v>
                </c:pt>
                <c:pt idx="15">
                  <c:v>235033.80499999999</c:v>
                </c:pt>
                <c:pt idx="16">
                  <c:v>241315.15</c:v>
                </c:pt>
                <c:pt idx="17">
                  <c:v>246687.34</c:v>
                </c:pt>
                <c:pt idx="18">
                  <c:v>251798.505</c:v>
                </c:pt>
                <c:pt idx="19">
                  <c:v>253482.85500000001</c:v>
                </c:pt>
                <c:pt idx="20">
                  <c:v>255462.70499999999</c:v>
                </c:pt>
                <c:pt idx="21">
                  <c:v>257255.405</c:v>
                </c:pt>
                <c:pt idx="22">
                  <c:v>259857.77499999999</c:v>
                </c:pt>
                <c:pt idx="23">
                  <c:v>264662.60499999998</c:v>
                </c:pt>
                <c:pt idx="24">
                  <c:v>270924.25</c:v>
                </c:pt>
                <c:pt idx="25">
                  <c:v>277155.36</c:v>
                </c:pt>
                <c:pt idx="26">
                  <c:v>281918.82</c:v>
                </c:pt>
                <c:pt idx="27">
                  <c:v>292346.02999999997</c:v>
                </c:pt>
                <c:pt idx="28">
                  <c:v>317413.32574393472</c:v>
                </c:pt>
                <c:pt idx="29">
                  <c:v>337542.4914864641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9-40CA-B0C1-82E88F5D37D2}"/>
            </c:ext>
          </c:extLst>
        </c:ser>
        <c:ser>
          <c:idx val="1"/>
          <c:order val="1"/>
          <c:tx>
            <c:strRef>
              <c:f>'Elab. elasticità alt. (2)'!$S$50</c:f>
              <c:strCache>
                <c:ptCount val="1"/>
                <c:pt idx="0">
                  <c:v>Dato INPS</c:v>
                </c:pt>
              </c:strCache>
            </c:strRef>
          </c:tx>
          <c:spPr>
            <a:ln w="63500" cap="rnd">
              <a:solidFill>
                <a:schemeClr val="accent4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'Elab. elasticità alt. (2)'!$T$48:$AX$48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 alt. (2)'!$T$50:$AX$50</c:f>
              <c:numCache>
                <c:formatCode>General</c:formatCode>
                <c:ptCount val="31"/>
                <c:pt idx="24">
                  <c:v>272660</c:v>
                </c:pt>
                <c:pt idx="25">
                  <c:v>278468</c:v>
                </c:pt>
                <c:pt idx="26">
                  <c:v>283411</c:v>
                </c:pt>
                <c:pt idx="27">
                  <c:v>292103</c:v>
                </c:pt>
                <c:pt idx="28">
                  <c:v>314894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59-40CA-B0C1-82E88F5D3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431567"/>
        <c:axId val="1243426767"/>
      </c:lineChart>
      <c:lineChart>
        <c:grouping val="standard"/>
        <c:varyColors val="0"/>
        <c:ser>
          <c:idx val="2"/>
          <c:order val="2"/>
          <c:tx>
            <c:strRef>
              <c:f>'Elab. elasticità alt. (2)'!$S$51</c:f>
              <c:strCache>
                <c:ptCount val="1"/>
                <c:pt idx="0">
                  <c:v>Spesa rivalutazione pensioni IVS (stima, dx)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7978213952949688E-17"/>
                  <c:y val="4.1152276709204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9-40CA-B0C1-82E88F5D37D2}"/>
                </c:ext>
              </c:extLst>
            </c:dLbl>
            <c:dLbl>
              <c:idx val="14"/>
              <c:layout>
                <c:manualLayout>
                  <c:x val="6.2146886204484135E-3"/>
                  <c:y val="-6.5843642734727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59-40CA-B0C1-82E88F5D37D2}"/>
                </c:ext>
              </c:extLst>
            </c:dLbl>
            <c:dLbl>
              <c:idx val="27"/>
              <c:layout>
                <c:manualLayout>
                  <c:x val="-0.12843689815593387"/>
                  <c:y val="-6.584364273472763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59-40CA-B0C1-82E88F5D37D2}"/>
                </c:ext>
              </c:extLst>
            </c:dLbl>
            <c:dLbl>
              <c:idx val="28"/>
              <c:layout>
                <c:manualLayout>
                  <c:x val="2.9001880228759262E-2"/>
                  <c:y val="3.292182136736380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9-40CA-B0C1-82E88F5D37D2}"/>
                </c:ext>
              </c:extLst>
            </c:dLbl>
            <c:dLbl>
              <c:idx val="29"/>
              <c:layout>
                <c:manualLayout>
                  <c:x val="-8.2862514939313694E-3"/>
                  <c:y val="0.1234568301276141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59-40CA-B0C1-82E88F5D37D2}"/>
                </c:ext>
              </c:extLst>
            </c:dLbl>
            <c:dLbl>
              <c:idx val="30"/>
              <c:layout>
                <c:manualLayout>
                  <c:x val="-0.10357814367414038"/>
                  <c:y val="2.8806593696443308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59-40CA-B0C1-82E88F5D3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'Elab. elasticità alt. (2)'!$T$48:$AX$48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 alt. (2)'!$T$51:$AX$51</c:f>
              <c:numCache>
                <c:formatCode>_-* #,##0_-;\-* #,##0_-;_-* "-"??_-;_-@_-</c:formatCode>
                <c:ptCount val="31"/>
                <c:pt idx="1">
                  <c:v>6033.1780670510479</c:v>
                </c:pt>
                <c:pt idx="2">
                  <c:v>4786.1018128708702</c:v>
                </c:pt>
                <c:pt idx="3">
                  <c:v>1646.3392674486072</c:v>
                </c:pt>
                <c:pt idx="4">
                  <c:v>2301.0346103931624</c:v>
                </c:pt>
                <c:pt idx="5">
                  <c:v>2162.0619860038314</c:v>
                </c:pt>
                <c:pt idx="6">
                  <c:v>3971.5331002276589</c:v>
                </c:pt>
                <c:pt idx="7">
                  <c:v>4319.1640620822818</c:v>
                </c:pt>
                <c:pt idx="8">
                  <c:v>4023.5245808691307</c:v>
                </c:pt>
                <c:pt idx="9">
                  <c:v>4363.4805297187304</c:v>
                </c:pt>
                <c:pt idx="10">
                  <c:v>3629.9033851403656</c:v>
                </c:pt>
                <c:pt idx="11">
                  <c:v>3195.6891503553179</c:v>
                </c:pt>
                <c:pt idx="12">
                  <c:v>3884.8581909333807</c:v>
                </c:pt>
                <c:pt idx="13">
                  <c:v>3127.0968901891156</c:v>
                </c:pt>
                <c:pt idx="14">
                  <c:v>6822.0296253076658</c:v>
                </c:pt>
                <c:pt idx="15">
                  <c:v>1551.4275112792839</c:v>
                </c:pt>
                <c:pt idx="16">
                  <c:v>3569.8983979865866</c:v>
                </c:pt>
                <c:pt idx="17">
                  <c:v>3012.1862465813683</c:v>
                </c:pt>
                <c:pt idx="18">
                  <c:v>3421.3821531891281</c:v>
                </c:pt>
                <c:pt idx="19">
                  <c:v>1975.7432579227914</c:v>
                </c:pt>
                <c:pt idx="20">
                  <c:v>396.43767968237461</c:v>
                </c:pt>
                <c:pt idx="21">
                  <c:v>0</c:v>
                </c:pt>
                <c:pt idx="22">
                  <c:v>0</c:v>
                </c:pt>
                <c:pt idx="23">
                  <c:v>2235.2429852754149</c:v>
                </c:pt>
                <c:pt idx="24">
                  <c:v>2294.1160455822192</c:v>
                </c:pt>
                <c:pt idx="25">
                  <c:v>1075.2779156009769</c:v>
                </c:pt>
                <c:pt idx="26">
                  <c:v>0</c:v>
                </c:pt>
                <c:pt idx="27">
                  <c:v>5140.3289078572607</c:v>
                </c:pt>
                <c:pt idx="28">
                  <c:v>22724.558695676398</c:v>
                </c:pt>
                <c:pt idx="29">
                  <c:v>16448.721746299296</c:v>
                </c:pt>
                <c:pt idx="30">
                  <c:v>2591.3834293716704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59-40CA-B0C1-82E88F5D3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456527"/>
        <c:axId val="1243471407"/>
      </c:lineChart>
      <c:catAx>
        <c:axId val="124343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26767"/>
        <c:crosses val="autoZero"/>
        <c:auto val="1"/>
        <c:lblAlgn val="ctr"/>
        <c:lblOffset val="100"/>
        <c:noMultiLvlLbl val="0"/>
      </c:catAx>
      <c:valAx>
        <c:axId val="1243426767"/>
        <c:scaling>
          <c:orientation val="minMax"/>
          <c:max val="350000"/>
          <c:min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31567"/>
        <c:crosses val="autoZero"/>
        <c:crossBetween val="between"/>
      </c:valAx>
      <c:valAx>
        <c:axId val="1243471407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56527"/>
        <c:crosses val="max"/>
        <c:crossBetween val="between"/>
      </c:valAx>
      <c:catAx>
        <c:axId val="12434565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3471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440082855371875E-3"/>
          <c:y val="0.91717958497118857"/>
          <c:w val="0.98893986708617432"/>
          <c:h val="8.2820415028811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 (3)'!$H$11:$H$21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 (3)'!$I$11:$I$21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0.27127253505016136</c:v>
                </c:pt>
                <c:pt idx="2">
                  <c:v>0.24453382051805383</c:v>
                </c:pt>
                <c:pt idx="3">
                  <c:v>0.1687448554594369</c:v>
                </c:pt>
                <c:pt idx="4">
                  <c:v>0.10720535660216973</c:v>
                </c:pt>
                <c:pt idx="5">
                  <c:v>5.1494397917736696E-2</c:v>
                </c:pt>
                <c:pt idx="6">
                  <c:v>2.5719408627352471E-2</c:v>
                </c:pt>
                <c:pt idx="7">
                  <c:v>1.3420031691491294E-2</c:v>
                </c:pt>
                <c:pt idx="8">
                  <c:v>8.0791014464149137E-3</c:v>
                </c:pt>
                <c:pt idx="9">
                  <c:v>5.8090554006742009E-3</c:v>
                </c:pt>
                <c:pt idx="10">
                  <c:v>1.6837856977847357E-2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9-43B2-8F45-6DB1AB21A3C3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 (3)'!$H$11:$H$21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 (3)'!$J$11:$J$21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0.35815611535882258</c:v>
                </c:pt>
                <c:pt idx="2">
                  <c:v>0.60268993587687647</c:v>
                </c:pt>
                <c:pt idx="3">
                  <c:v>0.77143479133631332</c:v>
                </c:pt>
                <c:pt idx="4">
                  <c:v>0.87864014793848311</c:v>
                </c:pt>
                <c:pt idx="5">
                  <c:v>0.9301345458562198</c:v>
                </c:pt>
                <c:pt idx="6">
                  <c:v>0.95585395448357224</c:v>
                </c:pt>
                <c:pt idx="7">
                  <c:v>0.96927398617506355</c:v>
                </c:pt>
                <c:pt idx="8">
                  <c:v>0.97735308762147843</c:v>
                </c:pt>
                <c:pt idx="9">
                  <c:v>0.98316214302215266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9-43B2-8F45-6DB1AB21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462478463316007"/>
          <c:h val="6.62743914673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 (3)'!$H$11:$H$21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 (3)'!$K$11:$K$21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0.13004368320422824</c:v>
                </c:pt>
                <c:pt idx="2">
                  <c:v>0.20392760575765045</c:v>
                </c:pt>
                <c:pt idx="3">
                  <c:v>0.19503275727143551</c:v>
                </c:pt>
                <c:pt idx="4">
                  <c:v>0.15919826871694887</c:v>
                </c:pt>
                <c:pt idx="5">
                  <c:v>9.326351028234349E-2</c:v>
                </c:pt>
                <c:pt idx="6">
                  <c:v>5.5137839521878153E-2</c:v>
                </c:pt>
                <c:pt idx="7">
                  <c:v>3.3280064631675821E-2</c:v>
                </c:pt>
                <c:pt idx="8">
                  <c:v>2.278140988119666E-2</c:v>
                </c:pt>
                <c:pt idx="9">
                  <c:v>1.8321071090149795E-2</c:v>
                </c:pt>
                <c:pt idx="10">
                  <c:v>7.4001965496692801E-2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F-49F8-9E3E-FEAA188265AE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 (3)'!$H$11:$H$21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 (3)'!$L$11:$L$21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0.14505550735002842</c:v>
                </c:pt>
                <c:pt idx="2">
                  <c:v>0.34898311310767888</c:v>
                </c:pt>
                <c:pt idx="3">
                  <c:v>0.54401587037911436</c:v>
                </c:pt>
                <c:pt idx="4">
                  <c:v>0.70321413909606323</c:v>
                </c:pt>
                <c:pt idx="5">
                  <c:v>0.7964776493784067</c:v>
                </c:pt>
                <c:pt idx="6">
                  <c:v>0.85161548890028482</c:v>
                </c:pt>
                <c:pt idx="7">
                  <c:v>0.8848955535319607</c:v>
                </c:pt>
                <c:pt idx="8">
                  <c:v>0.9076769634131574</c:v>
                </c:pt>
                <c:pt idx="9">
                  <c:v>0.9259980345033072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F-49F8-9E3E-FEAA18826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033710629921258"/>
          <c:h val="6.6274385865521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'Elab. elasticità alt. (3)'!$S$37</c:f>
              <c:strCache>
                <c:ptCount val="1"/>
                <c:pt idx="0">
                  <c:v>Elasticità al punto di inflazione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383858863160176E-2"/>
                  <c:y val="0.248565258710113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E6-4F3E-8D28-90C10AF3DFD0}"/>
                </c:ext>
              </c:extLst>
            </c:dLbl>
            <c:dLbl>
              <c:idx val="1"/>
              <c:layout>
                <c:manualLayout>
                  <c:x val="-1.7603909269174416E-2"/>
                  <c:y val="0.1065279680186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6-4F3E-8D28-90C10AF3DFD0}"/>
                </c:ext>
              </c:extLst>
            </c:dLbl>
            <c:dLbl>
              <c:idx val="2"/>
              <c:layout>
                <c:manualLayout>
                  <c:x val="-2.9339848781957351E-2"/>
                  <c:y val="-7.4964125642732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6-4F3E-8D28-90C10AF3DFD0}"/>
                </c:ext>
              </c:extLst>
            </c:dLbl>
            <c:dLbl>
              <c:idx val="3"/>
              <c:layout>
                <c:manualLayout>
                  <c:x val="3.9119798375943111E-3"/>
                  <c:y val="0.21305593603724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6-4F3E-8D28-90C10AF3DFD0}"/>
                </c:ext>
              </c:extLst>
            </c:dLbl>
            <c:dLbl>
              <c:idx val="4"/>
              <c:layout>
                <c:manualLayout>
                  <c:x val="-1.1735939512782933E-2"/>
                  <c:y val="0.12230988920656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E6-4F3E-8D28-90C10AF3DFD0}"/>
                </c:ext>
              </c:extLst>
            </c:dLbl>
            <c:dLbl>
              <c:idx val="5"/>
              <c:layout>
                <c:manualLayout>
                  <c:x val="3.9119798375943149E-2"/>
                  <c:y val="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E6-4F3E-8D28-90C10AF3DFD0}"/>
                </c:ext>
              </c:extLst>
            </c:dLbl>
            <c:dLbl>
              <c:idx val="6"/>
              <c:layout>
                <c:manualLayout>
                  <c:x val="-3.9119798375943466E-3"/>
                  <c:y val="8.285508623670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E6-4F3E-8D28-90C10AF3DFD0}"/>
                </c:ext>
              </c:extLst>
            </c:dLbl>
            <c:dLbl>
              <c:idx val="7"/>
              <c:layout>
                <c:manualLayout>
                  <c:x val="-3.5207818538348833E-2"/>
                  <c:y val="-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E6-4F3E-8D28-90C10AF3DFD0}"/>
                </c:ext>
              </c:extLst>
            </c:dLbl>
            <c:dLbl>
              <c:idx val="8"/>
              <c:layout>
                <c:manualLayout>
                  <c:x val="1.760390926917433E-2"/>
                  <c:y val="0.110473448315606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E6-4F3E-8D28-90C10AF3DFD0}"/>
                </c:ext>
              </c:extLst>
            </c:dLbl>
            <c:dLbl>
              <c:idx val="9"/>
              <c:layout>
                <c:manualLayout>
                  <c:x val="-3.3251828619551643E-2"/>
                  <c:y val="-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E6-4F3E-8D28-90C10AF3DFD0}"/>
                </c:ext>
              </c:extLst>
            </c:dLbl>
            <c:dLbl>
              <c:idx val="10"/>
              <c:layout>
                <c:manualLayout>
                  <c:x val="1.9559899187971554E-2"/>
                  <c:y val="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E6-4F3E-8D28-90C10AF3DFD0}"/>
                </c:ext>
              </c:extLst>
            </c:dLbl>
            <c:dLbl>
              <c:idx val="11"/>
              <c:layout>
                <c:manualLayout>
                  <c:x val="-7.8239596751886221E-3"/>
                  <c:y val="-0.1065279680186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E6-4F3E-8D28-90C10AF3DFD0}"/>
                </c:ext>
              </c:extLst>
            </c:dLbl>
            <c:dLbl>
              <c:idx val="12"/>
              <c:layout>
                <c:manualLayout>
                  <c:x val="-2.5672583291932012E-2"/>
                  <c:y val="0.4598074713609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E6-4F3E-8D28-90C10AF3DFD0}"/>
                </c:ext>
              </c:extLst>
            </c:dLbl>
            <c:dLbl>
              <c:idx val="13"/>
              <c:layout>
                <c:manualLayout>
                  <c:x val="5.9902639800645269E-3"/>
                  <c:y val="-0.178645655153048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E6-4F3E-8D28-90C10AF3DFD0}"/>
                </c:ext>
              </c:extLst>
            </c:dLbl>
            <c:dLbl>
              <c:idx val="14"/>
              <c:layout>
                <c:manualLayout>
                  <c:x val="-7.1718801854176676E-17"/>
                  <c:y val="6.707316504876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E6-4F3E-8D28-90C10AF3DFD0}"/>
                </c:ext>
              </c:extLst>
            </c:dLbl>
            <c:dLbl>
              <c:idx val="15"/>
              <c:layout>
                <c:manualLayout>
                  <c:x val="2.9339848781957334E-2"/>
                  <c:y val="-9.8637007424648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E6-4F3E-8D28-90C10AF3DFD0}"/>
                </c:ext>
              </c:extLst>
            </c:dLbl>
            <c:dLbl>
              <c:idx val="16"/>
              <c:layout>
                <c:manualLayout>
                  <c:x val="2.5427868944362952E-2"/>
                  <c:y val="1.9727401484929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E6-4F3E-8D28-90C10AF3DFD0}"/>
                </c:ext>
              </c:extLst>
            </c:dLbl>
            <c:dLbl>
              <c:idx val="17"/>
              <c:layout>
                <c:manualLayout>
                  <c:x val="-4.1075788294740269E-2"/>
                  <c:y val="0.14992825128546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E6-4F3E-8D28-90C10AF3DFD0}"/>
                </c:ext>
              </c:extLst>
            </c:dLbl>
            <c:dLbl>
              <c:idx val="18"/>
              <c:layout>
                <c:manualLayout>
                  <c:x val="2.3471879025565939E-2"/>
                  <c:y val="0.12625536950354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DE6-4F3E-8D28-90C10AF3DFD0}"/>
                </c:ext>
              </c:extLst>
            </c:dLbl>
            <c:dLbl>
              <c:idx val="19"/>
              <c:layout>
                <c:manualLayout>
                  <c:x val="6.0635687482711823E-2"/>
                  <c:y val="0.153873731582451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E6-4F3E-8D28-90C10AF3DFD0}"/>
                </c:ext>
              </c:extLst>
            </c:dLbl>
            <c:dLbl>
              <c:idx val="20"/>
              <c:layout>
                <c:manualLayout>
                  <c:x val="-7.8239596751886221E-3"/>
                  <c:y val="-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E6-4F3E-8D28-90C10AF3DFD0}"/>
                </c:ext>
              </c:extLst>
            </c:dLbl>
            <c:dLbl>
              <c:idx val="21"/>
              <c:layout>
                <c:manualLayout>
                  <c:x val="7.8239596751886221E-3"/>
                  <c:y val="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E6-4F3E-8D28-90C10AF3DFD0}"/>
                </c:ext>
              </c:extLst>
            </c:dLbl>
            <c:dLbl>
              <c:idx val="22"/>
              <c:layout>
                <c:manualLayout>
                  <c:x val="5.8679697563914668E-2"/>
                  <c:y val="0.11836440890957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E6-4F3E-8D28-90C10AF3DFD0}"/>
                </c:ext>
              </c:extLst>
            </c:dLbl>
            <c:dLbl>
              <c:idx val="23"/>
              <c:layout>
                <c:manualLayout>
                  <c:x val="-5.8679697563914666E-3"/>
                  <c:y val="-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DE6-4F3E-8D28-90C10AF3DFD0}"/>
                </c:ext>
              </c:extLst>
            </c:dLbl>
            <c:dLbl>
              <c:idx val="24"/>
              <c:layout>
                <c:manualLayout>
                  <c:x val="-1.7603909269174399E-2"/>
                  <c:y val="4.340028326684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DE6-4F3E-8D28-90C10AF3DFD0}"/>
                </c:ext>
              </c:extLst>
            </c:dLbl>
            <c:dLbl>
              <c:idx val="25"/>
              <c:layout>
                <c:manualLayout>
                  <c:x val="-9.7799495939857768E-3"/>
                  <c:y val="-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DE6-4F3E-8D28-90C10AF3DFD0}"/>
                </c:ext>
              </c:extLst>
            </c:dLbl>
            <c:dLbl>
              <c:idx val="26"/>
              <c:layout>
                <c:manualLayout>
                  <c:x val="1.3691929431580088E-2"/>
                  <c:y val="0.224892376928198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DE6-4F3E-8D28-90C10AF3DFD0}"/>
                </c:ext>
              </c:extLst>
            </c:dLbl>
            <c:dLbl>
              <c:idx val="27"/>
              <c:layout>
                <c:manualLayout>
                  <c:x val="-1.4343760370835335E-16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DE6-4F3E-8D28-90C10AF3DFD0}"/>
                </c:ext>
              </c:extLst>
            </c:dLbl>
            <c:dLbl>
              <c:idx val="28"/>
              <c:layout>
                <c:manualLayout>
                  <c:x val="-3.9119798375943107E-2"/>
                  <c:y val="0.130200849800535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DE6-4F3E-8D28-90C10AF3DFD0}"/>
                </c:ext>
              </c:extLst>
            </c:dLbl>
            <c:dLbl>
              <c:idx val="29"/>
              <c:layout>
                <c:manualLayout>
                  <c:x val="3.3251828619551643E-2"/>
                  <c:y val="0.122309889206563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DE6-4F3E-8D28-90C10AF3DFD0}"/>
                </c:ext>
              </c:extLst>
            </c:dLbl>
            <c:dLbl>
              <c:idx val="30"/>
              <c:layout>
                <c:manualLayout>
                  <c:x val="-2.1515889106768712E-2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DE6-4F3E-8D28-90C10AF3DFD0}"/>
                </c:ext>
              </c:extLst>
            </c:dLbl>
            <c:dLbl>
              <c:idx val="31"/>
              <c:layout>
                <c:manualLayout>
                  <c:x val="0"/>
                  <c:y val="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DE6-4F3E-8D28-90C10AF3D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'Elab. elasticità alt. (3)'!$T$36:$AY$36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hp. 2026</c:v>
                </c:pt>
              </c:strCache>
            </c:strRef>
          </c:cat>
          <c:val>
            <c:numRef>
              <c:f>'Elab. elasticità alt. (3)'!$T$37:$AY$37</c:f>
              <c:numCache>
                <c:formatCode>0.00</c:formatCode>
                <c:ptCount val="32"/>
                <c:pt idx="0">
                  <c:v>91.937973712443608</c:v>
                </c:pt>
                <c:pt idx="1">
                  <c:v>91.937973712443608</c:v>
                </c:pt>
                <c:pt idx="2">
                  <c:v>91.937973712443608</c:v>
                </c:pt>
                <c:pt idx="3">
                  <c:v>66.979350517270348</c:v>
                </c:pt>
                <c:pt idx="4">
                  <c:v>87.272096705108581</c:v>
                </c:pt>
                <c:pt idx="5">
                  <c:v>87.272096705108581</c:v>
                </c:pt>
                <c:pt idx="6">
                  <c:v>96.132101755077116</c:v>
                </c:pt>
                <c:pt idx="7">
                  <c:v>96.132101755077116</c:v>
                </c:pt>
                <c:pt idx="8">
                  <c:v>96.132101755077116</c:v>
                </c:pt>
                <c:pt idx="9">
                  <c:v>96.132101755077116</c:v>
                </c:pt>
                <c:pt idx="10">
                  <c:v>96.132101755077116</c:v>
                </c:pt>
                <c:pt idx="11">
                  <c:v>96.132101755077116</c:v>
                </c:pt>
                <c:pt idx="12">
                  <c:v>96.132101755077116</c:v>
                </c:pt>
                <c:pt idx="13">
                  <c:v>87.68215603757794</c:v>
                </c:pt>
                <c:pt idx="14">
                  <c:v>97.772052760820813</c:v>
                </c:pt>
                <c:pt idx="15">
                  <c:v>97.772052760820813</c:v>
                </c:pt>
                <c:pt idx="16">
                  <c:v>96.132101755077116</c:v>
                </c:pt>
                <c:pt idx="17">
                  <c:v>97.179829852906238</c:v>
                </c:pt>
                <c:pt idx="18">
                  <c:v>97.179829852906238</c:v>
                </c:pt>
                <c:pt idx="19">
                  <c:v>97.179829852906238</c:v>
                </c:pt>
                <c:pt idx="20">
                  <c:v>97.179829852906238</c:v>
                </c:pt>
                <c:pt idx="21">
                  <c:v>97.179829852906238</c:v>
                </c:pt>
                <c:pt idx="22">
                  <c:v>97.179829852906238</c:v>
                </c:pt>
                <c:pt idx="23">
                  <c:v>97.179829852906238</c:v>
                </c:pt>
                <c:pt idx="24">
                  <c:v>97.179829852906238</c:v>
                </c:pt>
                <c:pt idx="25">
                  <c:v>97.179829852906238</c:v>
                </c:pt>
                <c:pt idx="26">
                  <c:v>97.179829852906238</c:v>
                </c:pt>
                <c:pt idx="27">
                  <c:v>97.179829852906238</c:v>
                </c:pt>
                <c:pt idx="28">
                  <c:v>97.179829852906238</c:v>
                </c:pt>
                <c:pt idx="29">
                  <c:v>97.179829852906238</c:v>
                </c:pt>
                <c:pt idx="30">
                  <c:v>97.179829852906238</c:v>
                </c:pt>
                <c:pt idx="31">
                  <c:v>97.179829852906238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DE6-4F3E-8D28-90C10AF3D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47791"/>
        <c:axId val="919951631"/>
      </c:lineChart>
      <c:catAx>
        <c:axId val="91994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51631"/>
        <c:crosses val="autoZero"/>
        <c:auto val="1"/>
        <c:lblAlgn val="ctr"/>
        <c:lblOffset val="100"/>
        <c:noMultiLvlLbl val="0"/>
      </c:catAx>
      <c:valAx>
        <c:axId val="919951631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4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4096528600534"/>
          <c:y val="2.2602968990949414E-2"/>
          <c:w val="0.82120089289217035"/>
          <c:h val="0.76887358441838705"/>
        </c:manualLayout>
      </c:layout>
      <c:lineChart>
        <c:grouping val="standard"/>
        <c:varyColors val="0"/>
        <c:ser>
          <c:idx val="0"/>
          <c:order val="0"/>
          <c:tx>
            <c:strRef>
              <c:f>'Elab. elasticità alt. (3)'!$S$49</c:f>
              <c:strCache>
                <c:ptCount val="1"/>
                <c:pt idx="0">
                  <c:v>Spesa pensioni IVS (stima)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645946090104516E-2"/>
                  <c:y val="-0.28806593696443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37-4443-9BC0-E79C31C83056}"/>
                </c:ext>
              </c:extLst>
            </c:dLbl>
            <c:dLbl>
              <c:idx val="29"/>
              <c:layout>
                <c:manualLayout>
                  <c:x val="-0.12429377240896827"/>
                  <c:y val="1.55056594101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7-4443-9BC0-E79C31C830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'Elab. elasticità alt. (3)'!$T$48:$AX$48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 alt. (3)'!$T$49:$AX$49</c:f>
              <c:numCache>
                <c:formatCode>_-* #,##0_-;\-* #,##0_-;_-* "-"??_-;_-@_-</c:formatCode>
                <c:ptCount val="31"/>
                <c:pt idx="0">
                  <c:v>123060.97499999999</c:v>
                </c:pt>
                <c:pt idx="1">
                  <c:v>135171.54999999999</c:v>
                </c:pt>
                <c:pt idx="2">
                  <c:v>146417.29499999998</c:v>
                </c:pt>
                <c:pt idx="3">
                  <c:v>148333.12</c:v>
                </c:pt>
                <c:pt idx="4">
                  <c:v>156796.24</c:v>
                </c:pt>
                <c:pt idx="5">
                  <c:v>160908.61499999999</c:v>
                </c:pt>
                <c:pt idx="6">
                  <c:v>168511.83</c:v>
                </c:pt>
                <c:pt idx="7">
                  <c:v>176599.66500000001</c:v>
                </c:pt>
                <c:pt idx="8">
                  <c:v>183860.1</c:v>
                </c:pt>
                <c:pt idx="9">
                  <c:v>191187.51499999998</c:v>
                </c:pt>
                <c:pt idx="10">
                  <c:v>198020.46</c:v>
                </c:pt>
                <c:pt idx="11">
                  <c:v>204616.02</c:v>
                </c:pt>
                <c:pt idx="12">
                  <c:v>212443.815</c:v>
                </c:pt>
                <c:pt idx="13">
                  <c:v>220806.465</c:v>
                </c:pt>
                <c:pt idx="14">
                  <c:v>229552.28</c:v>
                </c:pt>
                <c:pt idx="15">
                  <c:v>235033.80499999999</c:v>
                </c:pt>
                <c:pt idx="16">
                  <c:v>241315.15</c:v>
                </c:pt>
                <c:pt idx="17">
                  <c:v>249886.74928686846</c:v>
                </c:pt>
                <c:pt idx="18">
                  <c:v>258642.91143147976</c:v>
                </c:pt>
                <c:pt idx="19">
                  <c:v>260901.13267106566</c:v>
                </c:pt>
                <c:pt idx="20">
                  <c:v>262798.51563787105</c:v>
                </c:pt>
                <c:pt idx="21">
                  <c:v>264356.05624897208</c:v>
                </c:pt>
                <c:pt idx="22">
                  <c:v>266729.05418261449</c:v>
                </c:pt>
                <c:pt idx="23">
                  <c:v>271935.1468027482</c:v>
                </c:pt>
                <c:pt idx="24">
                  <c:v>278584.15571734938</c:v>
                </c:pt>
                <c:pt idx="25">
                  <c:v>284881.89836322132</c:v>
                </c:pt>
                <c:pt idx="26">
                  <c:v>289294.06598874938</c:v>
                </c:pt>
                <c:pt idx="27">
                  <c:v>299669.66817312554</c:v>
                </c:pt>
                <c:pt idx="28">
                  <c:v>325115.9458653935</c:v>
                </c:pt>
                <c:pt idx="29">
                  <c:v>345446.65205308871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7-4443-9BC0-E79C31C83056}"/>
            </c:ext>
          </c:extLst>
        </c:ser>
        <c:ser>
          <c:idx val="1"/>
          <c:order val="1"/>
          <c:tx>
            <c:strRef>
              <c:f>'Elab. elasticità alt. (3)'!$S$50</c:f>
              <c:strCache>
                <c:ptCount val="1"/>
                <c:pt idx="0">
                  <c:v>Dato INPS</c:v>
                </c:pt>
              </c:strCache>
            </c:strRef>
          </c:tx>
          <c:spPr>
            <a:ln w="63500" cap="rnd">
              <a:solidFill>
                <a:schemeClr val="accent4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'Elab. elasticità alt. (3)'!$T$48:$AX$48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 alt. (3)'!$T$50:$AX$50</c:f>
              <c:numCache>
                <c:formatCode>_-* #,##0_-;\-* #,##0_-;_-* "-"??_-;_-@_-</c:formatCode>
                <c:ptCount val="31"/>
                <c:pt idx="24">
                  <c:v>272660</c:v>
                </c:pt>
                <c:pt idx="25">
                  <c:v>278468</c:v>
                </c:pt>
                <c:pt idx="26">
                  <c:v>283411</c:v>
                </c:pt>
                <c:pt idx="27">
                  <c:v>292103</c:v>
                </c:pt>
                <c:pt idx="28">
                  <c:v>314894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37-4443-9BC0-E79C31C83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431567"/>
        <c:axId val="1243426767"/>
      </c:lineChart>
      <c:lineChart>
        <c:grouping val="standard"/>
        <c:varyColors val="0"/>
        <c:ser>
          <c:idx val="2"/>
          <c:order val="2"/>
          <c:tx>
            <c:strRef>
              <c:f>'Elab. elasticità alt. (3)'!$S$51</c:f>
              <c:strCache>
                <c:ptCount val="1"/>
                <c:pt idx="0">
                  <c:v>Spesa rivalutazione pensioni IVS (stima, dx)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7978213952949688E-17"/>
                  <c:y val="4.1152276709204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37-4443-9BC0-E79C31C83056}"/>
                </c:ext>
              </c:extLst>
            </c:dLbl>
            <c:dLbl>
              <c:idx val="14"/>
              <c:layout>
                <c:manualLayout>
                  <c:x val="6.2146886204484135E-3"/>
                  <c:y val="-6.5843642734727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37-4443-9BC0-E79C31C83056}"/>
                </c:ext>
              </c:extLst>
            </c:dLbl>
            <c:dLbl>
              <c:idx val="18"/>
              <c:layout>
                <c:manualLayout>
                  <c:x val="1.864406586134524E-2"/>
                  <c:y val="-0.15226342382405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37-4443-9BC0-E79C31C83056}"/>
                </c:ext>
              </c:extLst>
            </c:dLbl>
            <c:dLbl>
              <c:idx val="27"/>
              <c:layout>
                <c:manualLayout>
                  <c:x val="-0.12843689815593387"/>
                  <c:y val="-6.584364273472763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37-4443-9BC0-E79C31C83056}"/>
                </c:ext>
              </c:extLst>
            </c:dLbl>
            <c:dLbl>
              <c:idx val="28"/>
              <c:layout>
                <c:manualLayout>
                  <c:x val="1.6572502987862437E-2"/>
                  <c:y val="7.407409807656850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37-4443-9BC0-E79C31C83056}"/>
                </c:ext>
              </c:extLst>
            </c:dLbl>
            <c:dLbl>
              <c:idx val="29"/>
              <c:layout>
                <c:manualLayout>
                  <c:x val="-8.2862514939312185E-3"/>
                  <c:y val="4.9382732051045639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37-4443-9BC0-E79C31C83056}"/>
                </c:ext>
              </c:extLst>
            </c:dLbl>
            <c:dLbl>
              <c:idx val="30"/>
              <c:layout>
                <c:manualLayout>
                  <c:x val="0"/>
                  <c:y val="-1.5088993817364228E-16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37-4443-9BC0-E79C31C830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'Elab. elasticità alt. (3)'!$T$48:$AX$48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 alt. (3)'!$T$51:$AX$51</c:f>
              <c:numCache>
                <c:formatCode>_-* #,##0_-;\-* #,##0_-;_-* "-"??_-;_-@_-</c:formatCode>
                <c:ptCount val="31"/>
                <c:pt idx="1">
                  <c:v>6033.1780670510479</c:v>
                </c:pt>
                <c:pt idx="2">
                  <c:v>4786.1018128708702</c:v>
                </c:pt>
                <c:pt idx="3">
                  <c:v>1646.3392674486072</c:v>
                </c:pt>
                <c:pt idx="4">
                  <c:v>2301.0346103931624</c:v>
                </c:pt>
                <c:pt idx="5">
                  <c:v>2162.0619860038314</c:v>
                </c:pt>
                <c:pt idx="6">
                  <c:v>3971.5331002276589</c:v>
                </c:pt>
                <c:pt idx="7">
                  <c:v>4319.1640620822818</c:v>
                </c:pt>
                <c:pt idx="8">
                  <c:v>4023.5245808691307</c:v>
                </c:pt>
                <c:pt idx="9">
                  <c:v>4363.4805297187304</c:v>
                </c:pt>
                <c:pt idx="10">
                  <c:v>3629.9033851403656</c:v>
                </c:pt>
                <c:pt idx="11">
                  <c:v>3195.6891503553179</c:v>
                </c:pt>
                <c:pt idx="12">
                  <c:v>3884.8581909333807</c:v>
                </c:pt>
                <c:pt idx="13">
                  <c:v>3127.0968901891156</c:v>
                </c:pt>
                <c:pt idx="14">
                  <c:v>6822.0296253076658</c:v>
                </c:pt>
                <c:pt idx="15">
                  <c:v>1551.4275112792839</c:v>
                </c:pt>
                <c:pt idx="16">
                  <c:v>3569.8983979865866</c:v>
                </c:pt>
                <c:pt idx="17">
                  <c:v>6252.6136012302004</c:v>
                </c:pt>
                <c:pt idx="18">
                  <c:v>7194.1207142898893</c:v>
                </c:pt>
                <c:pt idx="19">
                  <c:v>2730.2757018902048</c:v>
                </c:pt>
                <c:pt idx="20">
                  <c:v>500.74797170774235</c:v>
                </c:pt>
                <c:pt idx="21">
                  <c:v>0</c:v>
                </c:pt>
                <c:pt idx="22">
                  <c:v>0</c:v>
                </c:pt>
                <c:pt idx="23">
                  <c:v>2815.6343106115869</c:v>
                </c:pt>
                <c:pt idx="24">
                  <c:v>2870.5906521709676</c:v>
                </c:pt>
                <c:pt idx="25">
                  <c:v>1336.7175670836725</c:v>
                </c:pt>
                <c:pt idx="26">
                  <c:v>0</c:v>
                </c:pt>
                <c:pt idx="27">
                  <c:v>5274.8044641841725</c:v>
                </c:pt>
                <c:pt idx="28">
                  <c:v>23293.83766119233</c:v>
                </c:pt>
                <c:pt idx="29">
                  <c:v>16847.880334863195</c:v>
                </c:pt>
                <c:pt idx="30">
                  <c:v>2652.0653027122462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37-4443-9BC0-E79C31C83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456527"/>
        <c:axId val="1243471407"/>
      </c:lineChart>
      <c:catAx>
        <c:axId val="124343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26767"/>
        <c:crosses val="autoZero"/>
        <c:auto val="1"/>
        <c:lblAlgn val="ctr"/>
        <c:lblOffset val="100"/>
        <c:noMultiLvlLbl val="0"/>
      </c:catAx>
      <c:valAx>
        <c:axId val="1243426767"/>
        <c:scaling>
          <c:orientation val="minMax"/>
          <c:max val="350000"/>
          <c:min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31567"/>
        <c:crosses val="autoZero"/>
        <c:crossBetween val="between"/>
      </c:valAx>
      <c:valAx>
        <c:axId val="1243471407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56527"/>
        <c:crosses val="max"/>
        <c:crossBetween val="between"/>
      </c:valAx>
      <c:catAx>
        <c:axId val="12434565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3471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440082855371875E-3"/>
          <c:y val="0.91717958497118857"/>
          <c:w val="0.98893986708617432"/>
          <c:h val="8.2820415028811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9541013870347E-2"/>
          <c:y val="3.2761699325018406E-2"/>
          <c:w val="0.92946045898612961"/>
          <c:h val="0.79304953703877012"/>
        </c:manualLayout>
      </c:layout>
      <c:lineChart>
        <c:grouping val="standard"/>
        <c:varyColors val="0"/>
        <c:ser>
          <c:idx val="0"/>
          <c:order val="0"/>
          <c:tx>
            <c:strRef>
              <c:f>'Fattri cumul.'!$S$88</c:f>
              <c:strCache>
                <c:ptCount val="1"/>
                <c:pt idx="0">
                  <c:v>1 x TM</c:v>
                </c:pt>
              </c:strCache>
            </c:strRef>
          </c:tx>
          <c:spPr>
            <a:ln w="28575" cap="rnd">
              <a:solidFill>
                <a:schemeClr val="accent1">
                  <a:shade val="41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cumul.'!$T$88:$AW$88</c:f>
              <c:numCache>
                <c:formatCode>0.00%</c:formatCode>
                <c:ptCount val="30"/>
                <c:pt idx="0">
                  <c:v>1.0050180581795447</c:v>
                </c:pt>
                <c:pt idx="1">
                  <c:v>1.0050180581795447</c:v>
                </c:pt>
                <c:pt idx="2">
                  <c:v>1.0050180581795445</c:v>
                </c:pt>
                <c:pt idx="3">
                  <c:v>1.0050180581795445</c:v>
                </c:pt>
                <c:pt idx="4">
                  <c:v>1.0050180581795445</c:v>
                </c:pt>
                <c:pt idx="5">
                  <c:v>1.0050180581795449</c:v>
                </c:pt>
                <c:pt idx="6">
                  <c:v>1.0050180581795445</c:v>
                </c:pt>
                <c:pt idx="7">
                  <c:v>1.0050180581795447</c:v>
                </c:pt>
                <c:pt idx="8">
                  <c:v>1.0050180581795443</c:v>
                </c:pt>
                <c:pt idx="9">
                  <c:v>1.0050180581795447</c:v>
                </c:pt>
                <c:pt idx="10">
                  <c:v>1.0050180581795445</c:v>
                </c:pt>
                <c:pt idx="11">
                  <c:v>1.0050180581795445</c:v>
                </c:pt>
                <c:pt idx="12">
                  <c:v>1.0050180581795445</c:v>
                </c:pt>
                <c:pt idx="13">
                  <c:v>1.0050180581795447</c:v>
                </c:pt>
                <c:pt idx="14">
                  <c:v>1.0050180581795443</c:v>
                </c:pt>
                <c:pt idx="15">
                  <c:v>1.0050180581795445</c:v>
                </c:pt>
                <c:pt idx="16">
                  <c:v>1.0050180581795447</c:v>
                </c:pt>
                <c:pt idx="17">
                  <c:v>1.0050180581795447</c:v>
                </c:pt>
                <c:pt idx="18">
                  <c:v>1.0050180581795445</c:v>
                </c:pt>
                <c:pt idx="19">
                  <c:v>1.0050180581795443</c:v>
                </c:pt>
                <c:pt idx="20">
                  <c:v>1.0050180581795445</c:v>
                </c:pt>
                <c:pt idx="21">
                  <c:v>1.0040130401213649</c:v>
                </c:pt>
                <c:pt idx="22">
                  <c:v>1.0030090270812435</c:v>
                </c:pt>
                <c:pt idx="23">
                  <c:v>1.0030090270812437</c:v>
                </c:pt>
                <c:pt idx="24">
                  <c:v>1.0030090270812437</c:v>
                </c:pt>
                <c:pt idx="25">
                  <c:v>1.0030090270812437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7-4666-B223-CAA781F04B8D}"/>
            </c:ext>
          </c:extLst>
        </c:ser>
        <c:ser>
          <c:idx val="1"/>
          <c:order val="1"/>
          <c:tx>
            <c:strRef>
              <c:f>'Fattri cumul.'!$S$89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1">
                  <a:shade val="53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cumul.'!$T$89:$AW$89</c:f>
              <c:numCache>
                <c:formatCode>0.00%</c:formatCode>
                <c:ptCount val="30"/>
                <c:pt idx="0">
                  <c:v>1.0050180581795447</c:v>
                </c:pt>
                <c:pt idx="1">
                  <c:v>1.0050180581795447</c:v>
                </c:pt>
                <c:pt idx="2">
                  <c:v>1.0050180581795445</c:v>
                </c:pt>
                <c:pt idx="3">
                  <c:v>1.0050180581795445</c:v>
                </c:pt>
                <c:pt idx="4">
                  <c:v>1.0050180581795445</c:v>
                </c:pt>
                <c:pt idx="5">
                  <c:v>1.0050180581795449</c:v>
                </c:pt>
                <c:pt idx="6">
                  <c:v>1.0050180581795445</c:v>
                </c:pt>
                <c:pt idx="7">
                  <c:v>1.0050180581795447</c:v>
                </c:pt>
                <c:pt idx="8">
                  <c:v>1.0050180581795443</c:v>
                </c:pt>
                <c:pt idx="9">
                  <c:v>1.0050180581795447</c:v>
                </c:pt>
                <c:pt idx="10">
                  <c:v>1.0050180581795445</c:v>
                </c:pt>
                <c:pt idx="11">
                  <c:v>1.0050180581795445</c:v>
                </c:pt>
                <c:pt idx="12">
                  <c:v>1.0050180581795445</c:v>
                </c:pt>
                <c:pt idx="13">
                  <c:v>1.0050180581795447</c:v>
                </c:pt>
                <c:pt idx="14">
                  <c:v>1.0050180581795443</c:v>
                </c:pt>
                <c:pt idx="15">
                  <c:v>1.0050180581795445</c:v>
                </c:pt>
                <c:pt idx="16">
                  <c:v>1.0050180581795447</c:v>
                </c:pt>
                <c:pt idx="17">
                  <c:v>1.0050180581795447</c:v>
                </c:pt>
                <c:pt idx="18">
                  <c:v>1.0050180581795445</c:v>
                </c:pt>
                <c:pt idx="19">
                  <c:v>1.0050180581795443</c:v>
                </c:pt>
                <c:pt idx="20">
                  <c:v>1.0050180581795445</c:v>
                </c:pt>
                <c:pt idx="21">
                  <c:v>1.0040130401213649</c:v>
                </c:pt>
                <c:pt idx="22">
                  <c:v>1.0030090270812435</c:v>
                </c:pt>
                <c:pt idx="23">
                  <c:v>1.0030090270812437</c:v>
                </c:pt>
                <c:pt idx="24">
                  <c:v>1.0030090270812437</c:v>
                </c:pt>
                <c:pt idx="25">
                  <c:v>1.0030090270812437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7-4666-B223-CAA781F04B8D}"/>
            </c:ext>
          </c:extLst>
        </c:ser>
        <c:ser>
          <c:idx val="2"/>
          <c:order val="2"/>
          <c:tx>
            <c:strRef>
              <c:f>'Fattri cumul.'!$S$90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cumul.'!$T$90:$AW$90</c:f>
              <c:numCache>
                <c:formatCode>0.00%</c:formatCode>
                <c:ptCount val="30"/>
                <c:pt idx="0">
                  <c:v>1.0022287126648628</c:v>
                </c:pt>
                <c:pt idx="1">
                  <c:v>1.0032567176506908</c:v>
                </c:pt>
                <c:pt idx="2">
                  <c:v>1.0040104502312301</c:v>
                </c:pt>
                <c:pt idx="3">
                  <c:v>1.0043462198622557</c:v>
                </c:pt>
                <c:pt idx="4">
                  <c:v>1.0047015170588582</c:v>
                </c:pt>
                <c:pt idx="5">
                  <c:v>1.0050180581795449</c:v>
                </c:pt>
                <c:pt idx="6">
                  <c:v>1.0050180581795445</c:v>
                </c:pt>
                <c:pt idx="7">
                  <c:v>1.0050180581795447</c:v>
                </c:pt>
                <c:pt idx="8">
                  <c:v>1.0050180581795443</c:v>
                </c:pt>
                <c:pt idx="9">
                  <c:v>1.0050180581795447</c:v>
                </c:pt>
                <c:pt idx="10">
                  <c:v>1.0050180581795445</c:v>
                </c:pt>
                <c:pt idx="11">
                  <c:v>1.0050180581795445</c:v>
                </c:pt>
                <c:pt idx="12">
                  <c:v>1.0050180581795445</c:v>
                </c:pt>
                <c:pt idx="13">
                  <c:v>1.0050180581795447</c:v>
                </c:pt>
                <c:pt idx="14">
                  <c:v>1.0050180581795443</c:v>
                </c:pt>
                <c:pt idx="15">
                  <c:v>1.0050180581795445</c:v>
                </c:pt>
                <c:pt idx="16">
                  <c:v>1.0050180581795447</c:v>
                </c:pt>
                <c:pt idx="17">
                  <c:v>1.0050180581795447</c:v>
                </c:pt>
                <c:pt idx="18">
                  <c:v>1.0050180581795445</c:v>
                </c:pt>
                <c:pt idx="19">
                  <c:v>1.0050180581795443</c:v>
                </c:pt>
                <c:pt idx="20">
                  <c:v>1.0050180581795445</c:v>
                </c:pt>
                <c:pt idx="21">
                  <c:v>1.0040130401213649</c:v>
                </c:pt>
                <c:pt idx="22">
                  <c:v>1.0030090270812435</c:v>
                </c:pt>
                <c:pt idx="23">
                  <c:v>1.0030090270812437</c:v>
                </c:pt>
                <c:pt idx="24">
                  <c:v>1.0030090270812437</c:v>
                </c:pt>
                <c:pt idx="25">
                  <c:v>1.0030090270812437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7-4666-B223-CAA781F04B8D}"/>
            </c:ext>
          </c:extLst>
        </c:ser>
        <c:ser>
          <c:idx val="3"/>
          <c:order val="3"/>
          <c:tx>
            <c:strRef>
              <c:f>'Fattri cumul.'!$S$91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cumul.'!$T$91:$AW$91</c:f>
              <c:numCache>
                <c:formatCode>0.00%</c:formatCode>
                <c:ptCount val="30"/>
                <c:pt idx="0">
                  <c:v>0.95942155960403308</c:v>
                </c:pt>
                <c:pt idx="1">
                  <c:v>0.96259192879211264</c:v>
                </c:pt>
                <c:pt idx="2">
                  <c:v>0.96492031481231799</c:v>
                </c:pt>
                <c:pt idx="3">
                  <c:v>0.96595832312414531</c:v>
                </c:pt>
                <c:pt idx="4">
                  <c:v>0.96705756059830295</c:v>
                </c:pt>
                <c:pt idx="5">
                  <c:v>0.96803757614220431</c:v>
                </c:pt>
                <c:pt idx="6">
                  <c:v>0.96838814829279729</c:v>
                </c:pt>
                <c:pt idx="7">
                  <c:v>0.96875198615099845</c:v>
                </c:pt>
                <c:pt idx="8">
                  <c:v>0.96907645371362505</c:v>
                </c:pt>
                <c:pt idx="9">
                  <c:v>0.96941422870620642</c:v>
                </c:pt>
                <c:pt idx="10">
                  <c:v>0.96968584939231028</c:v>
                </c:pt>
                <c:pt idx="11">
                  <c:v>0.96991746333916717</c:v>
                </c:pt>
                <c:pt idx="12">
                  <c:v>0.97018922502684934</c:v>
                </c:pt>
                <c:pt idx="13">
                  <c:v>0.97018922502685001</c:v>
                </c:pt>
                <c:pt idx="14">
                  <c:v>0.97018922502685012</c:v>
                </c:pt>
                <c:pt idx="15">
                  <c:v>0.97018922502685001</c:v>
                </c:pt>
                <c:pt idx="16">
                  <c:v>0.97040753943392188</c:v>
                </c:pt>
                <c:pt idx="17">
                  <c:v>0.98596017312884621</c:v>
                </c:pt>
                <c:pt idx="18">
                  <c:v>1.0034970141528765</c:v>
                </c:pt>
                <c:pt idx="19">
                  <c:v>1.0040432295596595</c:v>
                </c:pt>
                <c:pt idx="20">
                  <c:v>1.0041434434761749</c:v>
                </c:pt>
                <c:pt idx="21">
                  <c:v>1.0031393000326985</c:v>
                </c:pt>
                <c:pt idx="22">
                  <c:v>1.002136160732666</c:v>
                </c:pt>
                <c:pt idx="23">
                  <c:v>1.0026816354106831</c:v>
                </c:pt>
                <c:pt idx="24">
                  <c:v>1.0030090270812437</c:v>
                </c:pt>
                <c:pt idx="25">
                  <c:v>1.0030090270812437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7-4666-B223-CAA781F04B8D}"/>
            </c:ext>
          </c:extLst>
        </c:ser>
        <c:ser>
          <c:idx val="4"/>
          <c:order val="4"/>
          <c:tx>
            <c:strRef>
              <c:f>'Fattri cumul.'!$S$92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1">
                  <a:shade val="8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cumul.'!$T$92:$AW$92</c:f>
              <c:numCache>
                <c:formatCode>0.00%</c:formatCode>
                <c:ptCount val="30"/>
                <c:pt idx="0">
                  <c:v>0.90102115138685401</c:v>
                </c:pt>
                <c:pt idx="1">
                  <c:v>0.90592034108723096</c:v>
                </c:pt>
                <c:pt idx="2">
                  <c:v>0.90952400533680033</c:v>
                </c:pt>
                <c:pt idx="3">
                  <c:v>0.92498591342752601</c:v>
                </c:pt>
                <c:pt idx="4">
                  <c:v>0.92671553968036724</c:v>
                </c:pt>
                <c:pt idx="5">
                  <c:v>0.92825857668448009</c:v>
                </c:pt>
                <c:pt idx="6">
                  <c:v>0.92904334364142216</c:v>
                </c:pt>
                <c:pt idx="7">
                  <c:v>0.92985821452074913</c:v>
                </c:pt>
                <c:pt idx="8">
                  <c:v>0.93058523423499451</c:v>
                </c:pt>
                <c:pt idx="9">
                  <c:v>0.93134242319694405</c:v>
                </c:pt>
                <c:pt idx="10">
                  <c:v>0.93195154185174844</c:v>
                </c:pt>
                <c:pt idx="11">
                  <c:v>0.9324711094971585</c:v>
                </c:pt>
                <c:pt idx="12">
                  <c:v>0.93308096633790183</c:v>
                </c:pt>
                <c:pt idx="13">
                  <c:v>0.93308096633790194</c:v>
                </c:pt>
                <c:pt idx="14">
                  <c:v>0.93308096633790227</c:v>
                </c:pt>
                <c:pt idx="15">
                  <c:v>0.93308096633790216</c:v>
                </c:pt>
                <c:pt idx="16">
                  <c:v>0.93357102987064255</c:v>
                </c:pt>
                <c:pt idx="17">
                  <c:v>0.95362785724801058</c:v>
                </c:pt>
                <c:pt idx="18">
                  <c:v>0.97637842243086537</c:v>
                </c:pt>
                <c:pt idx="19">
                  <c:v>0.97904149276231567</c:v>
                </c:pt>
                <c:pt idx="20">
                  <c:v>0.97953028032734935</c:v>
                </c:pt>
                <c:pt idx="21">
                  <c:v>0.97855075004702197</c:v>
                </c:pt>
                <c:pt idx="22">
                  <c:v>0.97757219929697503</c:v>
                </c:pt>
                <c:pt idx="23">
                  <c:v>0.98023852565260761</c:v>
                </c:pt>
                <c:pt idx="24">
                  <c:v>0.98269769991649336</c:v>
                </c:pt>
                <c:pt idx="25">
                  <c:v>0.98382346806402921</c:v>
                </c:pt>
                <c:pt idx="26">
                  <c:v>0.98087199765983724</c:v>
                </c:pt>
                <c:pt idx="27">
                  <c:v>0.98107525171918342</c:v>
                </c:pt>
                <c:pt idx="28">
                  <c:v>0.99222748478124834</c:v>
                </c:pt>
                <c:pt idx="29">
                  <c:v>0.99991181657848338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7-4666-B223-CAA781F04B8D}"/>
            </c:ext>
          </c:extLst>
        </c:ser>
        <c:ser>
          <c:idx val="5"/>
          <c:order val="5"/>
          <c:tx>
            <c:strRef>
              <c:f>'Fattri cumul.'!$S$93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cumul.'!$T$93:$AW$93</c:f>
              <c:numCache>
                <c:formatCode>0.00%</c:formatCode>
                <c:ptCount val="30"/>
                <c:pt idx="0">
                  <c:v>0.84190147692145745</c:v>
                </c:pt>
                <c:pt idx="1">
                  <c:v>0.84762591274758659</c:v>
                </c:pt>
                <c:pt idx="2">
                  <c:v>0.85184076929704333</c:v>
                </c:pt>
                <c:pt idx="3">
                  <c:v>0.86632206237509313</c:v>
                </c:pt>
                <c:pt idx="4">
                  <c:v>0.86897601663199719</c:v>
                </c:pt>
                <c:pt idx="5">
                  <c:v>0.87134617803251513</c:v>
                </c:pt>
                <c:pt idx="6">
                  <c:v>0.8726529150752913</c:v>
                </c:pt>
                <c:pt idx="7">
                  <c:v>0.87401069924558084</c:v>
                </c:pt>
                <c:pt idx="8">
                  <c:v>0.87522283314091087</c:v>
                </c:pt>
                <c:pt idx="9">
                  <c:v>0.87648606138903318</c:v>
                </c:pt>
                <c:pt idx="10">
                  <c:v>0.87750277583518721</c:v>
                </c:pt>
                <c:pt idx="11">
                  <c:v>0.87837038938687462</c:v>
                </c:pt>
                <c:pt idx="12">
                  <c:v>0.87938928963332985</c:v>
                </c:pt>
                <c:pt idx="13">
                  <c:v>0.87972350120749043</c:v>
                </c:pt>
                <c:pt idx="14">
                  <c:v>0.88034389859903328</c:v>
                </c:pt>
                <c:pt idx="15">
                  <c:v>0.88048300171838001</c:v>
                </c:pt>
                <c:pt idx="16">
                  <c:v>0.8813031119872301</c:v>
                </c:pt>
                <c:pt idx="17">
                  <c:v>0.90266111101115543</c:v>
                </c:pt>
                <c:pt idx="18">
                  <c:v>0.92696006414904264</c:v>
                </c:pt>
                <c:pt idx="19">
                  <c:v>0.93203045733931567</c:v>
                </c:pt>
                <c:pt idx="20">
                  <c:v>0.93296155669729752</c:v>
                </c:pt>
                <c:pt idx="21">
                  <c:v>0.9320285951406001</c:v>
                </c:pt>
                <c:pt idx="22">
                  <c:v>0.93109656654545958</c:v>
                </c:pt>
                <c:pt idx="23">
                  <c:v>0.93618958605416136</c:v>
                </c:pt>
                <c:pt idx="24">
                  <c:v>0.94110455345499455</c:v>
                </c:pt>
                <c:pt idx="25">
                  <c:v>0.94335734711975805</c:v>
                </c:pt>
                <c:pt idx="26">
                  <c:v>0.94052727507839884</c:v>
                </c:pt>
                <c:pt idx="27">
                  <c:v>0.9412452380354156</c:v>
                </c:pt>
                <c:pt idx="28">
                  <c:v>0.97560344636388285</c:v>
                </c:pt>
                <c:pt idx="29">
                  <c:v>0.99967532467532472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7-4666-B223-CAA781F04B8D}"/>
            </c:ext>
          </c:extLst>
        </c:ser>
        <c:ser>
          <c:idx val="6"/>
          <c:order val="6"/>
          <c:tx>
            <c:strRef>
              <c:f>'Fattri cumul.'!$S$94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1">
                  <a:tint val="89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cumul.'!$T$94:$AW$94</c:f>
              <c:numCache>
                <c:formatCode>0.00%</c:formatCode>
                <c:ptCount val="30"/>
                <c:pt idx="0">
                  <c:v>0.81848699377704048</c:v>
                </c:pt>
                <c:pt idx="1">
                  <c:v>0.82482578778181548</c:v>
                </c:pt>
                <c:pt idx="2">
                  <c:v>0.8294961946525734</c:v>
                </c:pt>
                <c:pt idx="3">
                  <c:v>0.84359762996166721</c:v>
                </c:pt>
                <c:pt idx="4">
                  <c:v>0.84740113816834661</c:v>
                </c:pt>
                <c:pt idx="5">
                  <c:v>0.8508022860106671</c:v>
                </c:pt>
                <c:pt idx="6">
                  <c:v>0.85271382772974935</c:v>
                </c:pt>
                <c:pt idx="7">
                  <c:v>0.85470158026268006</c:v>
                </c:pt>
                <c:pt idx="8">
                  <c:v>0.85647732953364764</c:v>
                </c:pt>
                <c:pt idx="9">
                  <c:v>0.85832925945555083</c:v>
                </c:pt>
                <c:pt idx="10">
                  <c:v>0.85982065274462449</c:v>
                </c:pt>
                <c:pt idx="11">
                  <c:v>0.86109395937087829</c:v>
                </c:pt>
                <c:pt idx="12">
                  <c:v>0.86259015647486881</c:v>
                </c:pt>
                <c:pt idx="13">
                  <c:v>0.86342281973419954</c:v>
                </c:pt>
                <c:pt idx="14">
                  <c:v>0.86497017245773788</c:v>
                </c:pt>
                <c:pt idx="15">
                  <c:v>0.86531719829923759</c:v>
                </c:pt>
                <c:pt idx="16">
                  <c:v>0.86652434911872434</c:v>
                </c:pt>
                <c:pt idx="17">
                  <c:v>0.88992050654493005</c:v>
                </c:pt>
                <c:pt idx="18">
                  <c:v>0.91661812174127744</c:v>
                </c:pt>
                <c:pt idx="19">
                  <c:v>0.92264129936323336</c:v>
                </c:pt>
                <c:pt idx="20">
                  <c:v>0.92365529219898113</c:v>
                </c:pt>
                <c:pt idx="21">
                  <c:v>0.92273163690678206</c:v>
                </c:pt>
                <c:pt idx="22">
                  <c:v>0.92180890526987536</c:v>
                </c:pt>
                <c:pt idx="23">
                  <c:v>0.92735837925055353</c:v>
                </c:pt>
                <c:pt idx="24">
                  <c:v>0.93273707076644685</c:v>
                </c:pt>
                <c:pt idx="25">
                  <c:v>0.93520302900212393</c:v>
                </c:pt>
                <c:pt idx="26">
                  <c:v>0.93239741991511771</c:v>
                </c:pt>
                <c:pt idx="27">
                  <c:v>0.93366961260081571</c:v>
                </c:pt>
                <c:pt idx="28">
                  <c:v>0.97228207271328704</c:v>
                </c:pt>
                <c:pt idx="29">
                  <c:v>0.99942002442002442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07-4666-B223-CAA781F04B8D}"/>
            </c:ext>
          </c:extLst>
        </c:ser>
        <c:ser>
          <c:idx val="7"/>
          <c:order val="7"/>
          <c:tx>
            <c:strRef>
              <c:f>'Fattri cumul.'!$S$95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cumul.'!$T$95:$AW$95</c:f>
              <c:numCache>
                <c:formatCode>0.00%</c:formatCode>
                <c:ptCount val="30"/>
                <c:pt idx="0">
                  <c:v>0.80766763979644662</c:v>
                </c:pt>
                <c:pt idx="1">
                  <c:v>0.81448333525847727</c:v>
                </c:pt>
                <c:pt idx="2">
                  <c:v>0.81950765069149412</c:v>
                </c:pt>
                <c:pt idx="3">
                  <c:v>0.83343928075324958</c:v>
                </c:pt>
                <c:pt idx="4">
                  <c:v>0.8380824882520127</c:v>
                </c:pt>
                <c:pt idx="5">
                  <c:v>0.84223841534083399</c:v>
                </c:pt>
                <c:pt idx="6">
                  <c:v>0.84459273817825087</c:v>
                </c:pt>
                <c:pt idx="7">
                  <c:v>0.84704231527305263</c:v>
                </c:pt>
                <c:pt idx="8">
                  <c:v>0.8492317408549438</c:v>
                </c:pt>
                <c:pt idx="9">
                  <c:v>0.85151629677311602</c:v>
                </c:pt>
                <c:pt idx="10">
                  <c:v>0.85335687041518704</c:v>
                </c:pt>
                <c:pt idx="11">
                  <c:v>0.85492886350737896</c:v>
                </c:pt>
                <c:pt idx="12">
                  <c:v>0.85677681349727464</c:v>
                </c:pt>
                <c:pt idx="13">
                  <c:v>0.85797195634042345</c:v>
                </c:pt>
                <c:pt idx="14">
                  <c:v>0.86019468161591706</c:v>
                </c:pt>
                <c:pt idx="15">
                  <c:v>0.860693262618758</c:v>
                </c:pt>
                <c:pt idx="16">
                  <c:v>0.86218681458102397</c:v>
                </c:pt>
                <c:pt idx="17">
                  <c:v>0.88546585857471183</c:v>
                </c:pt>
                <c:pt idx="18">
                  <c:v>0.91202983433195262</c:v>
                </c:pt>
                <c:pt idx="19">
                  <c:v>0.92206216250960404</c:v>
                </c:pt>
                <c:pt idx="20">
                  <c:v>0.92307551886764294</c:v>
                </c:pt>
                <c:pt idx="21">
                  <c:v>0.92215244334877522</c:v>
                </c:pt>
                <c:pt idx="22">
                  <c:v>0.92123029090542652</c:v>
                </c:pt>
                <c:pt idx="23">
                  <c:v>0.92677628151190194</c:v>
                </c:pt>
                <c:pt idx="24">
                  <c:v>0.93215159685280391</c:v>
                </c:pt>
                <c:pt idx="25">
                  <c:v>0.93461600722010074</c:v>
                </c:pt>
                <c:pt idx="26">
                  <c:v>0.93181215919844051</c:v>
                </c:pt>
                <c:pt idx="27">
                  <c:v>0.93349470936153534</c:v>
                </c:pt>
                <c:pt idx="28">
                  <c:v>0.97209993624690016</c:v>
                </c:pt>
                <c:pt idx="29">
                  <c:v>0.99923280423280425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07-4666-B223-CAA781F04B8D}"/>
            </c:ext>
          </c:extLst>
        </c:ser>
        <c:ser>
          <c:idx val="8"/>
          <c:order val="8"/>
          <c:tx>
            <c:strRef>
              <c:f>'Fattri cumul.'!$S$96</c:f>
              <c:strCache>
                <c:ptCount val="1"/>
                <c:pt idx="0">
                  <c:v>9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cumul.'!$T$96:$AW$96</c:f>
              <c:numCache>
                <c:formatCode>0.00%</c:formatCode>
                <c:ptCount val="30"/>
                <c:pt idx="0">
                  <c:v>0.77912181925201729</c:v>
                </c:pt>
                <c:pt idx="1">
                  <c:v>0.78611073768674744</c:v>
                </c:pt>
                <c:pt idx="2">
                  <c:v>0.79126473233403438</c:v>
                </c:pt>
                <c:pt idx="3">
                  <c:v>0.80471623278371307</c:v>
                </c:pt>
                <c:pt idx="4">
                  <c:v>0.81010884453050125</c:v>
                </c:pt>
                <c:pt idx="5">
                  <c:v>0.81494035753487626</c:v>
                </c:pt>
                <c:pt idx="6">
                  <c:v>0.81756056367577068</c:v>
                </c:pt>
                <c:pt idx="7">
                  <c:v>0.82028796595676001</c:v>
                </c:pt>
                <c:pt idx="8">
                  <c:v>0.82272665480026208</c:v>
                </c:pt>
                <c:pt idx="9">
                  <c:v>0.82527232984929577</c:v>
                </c:pt>
                <c:pt idx="10">
                  <c:v>0.8273239405438384</c:v>
                </c:pt>
                <c:pt idx="11">
                  <c:v>0.82907665914478401</c:v>
                </c:pt>
                <c:pt idx="12">
                  <c:v>0.83113772732673552</c:v>
                </c:pt>
                <c:pt idx="13">
                  <c:v>0.8452670686912902</c:v>
                </c:pt>
                <c:pt idx="14">
                  <c:v>0.84797377934126261</c:v>
                </c:pt>
                <c:pt idx="15">
                  <c:v>0.84858100624274468</c:v>
                </c:pt>
                <c:pt idx="16">
                  <c:v>0.85027446627283876</c:v>
                </c:pt>
                <c:pt idx="17">
                  <c:v>0.87323187686220549</c:v>
                </c:pt>
                <c:pt idx="18">
                  <c:v>0.89942883316807121</c:v>
                </c:pt>
                <c:pt idx="19">
                  <c:v>0.90932255033291987</c:v>
                </c:pt>
                <c:pt idx="20">
                  <c:v>0.91032190571843996</c:v>
                </c:pt>
                <c:pt idx="21">
                  <c:v>0.90941158381272147</c:v>
                </c:pt>
                <c:pt idx="22">
                  <c:v>0.90850217222890872</c:v>
                </c:pt>
                <c:pt idx="23">
                  <c:v>0.91397153701520117</c:v>
                </c:pt>
                <c:pt idx="24">
                  <c:v>0.91947382847143455</c:v>
                </c:pt>
                <c:pt idx="25">
                  <c:v>0.92199670502747988</c:v>
                </c:pt>
                <c:pt idx="26">
                  <c:v>0.9192307149123975</c:v>
                </c:pt>
                <c:pt idx="27">
                  <c:v>0.92120095652408207</c:v>
                </c:pt>
                <c:pt idx="28">
                  <c:v>0.96684197986595022</c:v>
                </c:pt>
                <c:pt idx="29">
                  <c:v>0.99908963585434185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07-4666-B223-CAA781F04B8D}"/>
            </c:ext>
          </c:extLst>
        </c:ser>
        <c:ser>
          <c:idx val="9"/>
          <c:order val="9"/>
          <c:tx>
            <c:strRef>
              <c:f>'Fattri cumul.'!$S$97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cumul.'!$T$97:$AW$97</c:f>
              <c:numCache>
                <c:formatCode>0.00%</c:formatCode>
                <c:ptCount val="30"/>
                <c:pt idx="0">
                  <c:v>0.77374341986971951</c:v>
                </c:pt>
                <c:pt idx="1">
                  <c:v>0.78100907404401321</c:v>
                </c:pt>
                <c:pt idx="2">
                  <c:v>0.78636877816753459</c:v>
                </c:pt>
                <c:pt idx="3">
                  <c:v>0.79973704739638263</c:v>
                </c:pt>
                <c:pt idx="4">
                  <c:v>0.80603799584909608</c:v>
                </c:pt>
                <c:pt idx="5">
                  <c:v>0.81168920957510649</c:v>
                </c:pt>
                <c:pt idx="6">
                  <c:v>0.81456823653196764</c:v>
                </c:pt>
                <c:pt idx="7">
                  <c:v>0.8175660765759899</c:v>
                </c:pt>
                <c:pt idx="8">
                  <c:v>0.82024739515802336</c:v>
                </c:pt>
                <c:pt idx="9">
                  <c:v>0.82304723491737086</c:v>
                </c:pt>
                <c:pt idx="10">
                  <c:v>0.82530425894855031</c:v>
                </c:pt>
                <c:pt idx="11">
                  <c:v>0.82723288501437331</c:v>
                </c:pt>
                <c:pt idx="12">
                  <c:v>0.82950138726023426</c:v>
                </c:pt>
                <c:pt idx="13">
                  <c:v>0.84360291084365835</c:v>
                </c:pt>
                <c:pt idx="14">
                  <c:v>0.8467120124806744</c:v>
                </c:pt>
                <c:pt idx="15">
                  <c:v>0.84740958740366645</c:v>
                </c:pt>
                <c:pt idx="16">
                  <c:v>0.84927496548782933</c:v>
                </c:pt>
                <c:pt idx="17">
                  <c:v>0.8722053895560008</c:v>
                </c:pt>
                <c:pt idx="18">
                  <c:v>0.89837155124268031</c:v>
                </c:pt>
                <c:pt idx="19">
                  <c:v>0.90825363830634975</c:v>
                </c:pt>
                <c:pt idx="20">
                  <c:v>0.90925181894591189</c:v>
                </c:pt>
                <c:pt idx="21">
                  <c:v>0.90834256712696582</c:v>
                </c:pt>
                <c:pt idx="22">
                  <c:v>0.90743422455983891</c:v>
                </c:pt>
                <c:pt idx="23">
                  <c:v>0.91289716008756361</c:v>
                </c:pt>
                <c:pt idx="24">
                  <c:v>0.91889588694596436</c:v>
                </c:pt>
                <c:pt idx="25">
                  <c:v>0.92164707223622144</c:v>
                </c:pt>
                <c:pt idx="26">
                  <c:v>0.91888213101951288</c:v>
                </c:pt>
                <c:pt idx="27">
                  <c:v>0.92109674045436374</c:v>
                </c:pt>
                <c:pt idx="28">
                  <c:v>0.96673260039726139</c:v>
                </c:pt>
                <c:pt idx="29">
                  <c:v>0.99897660818713441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07-4666-B223-CAA781F04B8D}"/>
            </c:ext>
          </c:extLst>
        </c:ser>
        <c:ser>
          <c:idx val="10"/>
          <c:order val="10"/>
          <c:tx>
            <c:strRef>
              <c:f>'Fattri cumul.'!$S$98</c:f>
              <c:strCache>
                <c:ptCount val="1"/>
                <c:pt idx="0">
                  <c:v>10+</c:v>
                </c:pt>
              </c:strCache>
            </c:strRef>
          </c:tx>
          <c:spPr>
            <a:ln w="28575" cap="rnd">
              <a:solidFill>
                <a:schemeClr val="accent1">
                  <a:tint val="42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'Fattri cumul.'!$T$87:$AW$87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'Fattri cumul.'!$T$98:$AW$98</c:f>
              <c:numCache>
                <c:formatCode>0.00%</c:formatCode>
                <c:ptCount val="30"/>
                <c:pt idx="0">
                  <c:v>0.76079364188256571</c:v>
                </c:pt>
                <c:pt idx="1">
                  <c:v>0.76819656623322763</c:v>
                </c:pt>
                <c:pt idx="2">
                  <c:v>0.7736588766021979</c:v>
                </c:pt>
                <c:pt idx="3">
                  <c:v>0.78681107750443524</c:v>
                </c:pt>
                <c:pt idx="4">
                  <c:v>0.79376178411809872</c:v>
                </c:pt>
                <c:pt idx="5">
                  <c:v>0.80000101210905039</c:v>
                </c:pt>
                <c:pt idx="6">
                  <c:v>0.80305355486144769</c:v>
                </c:pt>
                <c:pt idx="7">
                  <c:v>0.80623295453610355</c:v>
                </c:pt>
                <c:pt idx="8">
                  <c:v>0.80907736715500767</c:v>
                </c:pt>
                <c:pt idx="9">
                  <c:v>0.81204827547993508</c:v>
                </c:pt>
                <c:pt idx="10">
                  <c:v>0.814443698121468</c:v>
                </c:pt>
                <c:pt idx="11">
                  <c:v>0.81649094680815548</c:v>
                </c:pt>
                <c:pt idx="12">
                  <c:v>0.81889947467484581</c:v>
                </c:pt>
                <c:pt idx="13">
                  <c:v>0.83282076574431829</c:v>
                </c:pt>
                <c:pt idx="14">
                  <c:v>0.83621625441117808</c:v>
                </c:pt>
                <c:pt idx="15">
                  <c:v>0.83697815110616047</c:v>
                </c:pt>
                <c:pt idx="16">
                  <c:v>0.83895994625479364</c:v>
                </c:pt>
                <c:pt idx="17">
                  <c:v>0.86161186480367324</c:v>
                </c:pt>
                <c:pt idx="18">
                  <c:v>0.88746022074778286</c:v>
                </c:pt>
                <c:pt idx="19">
                  <c:v>0.89722228317600838</c:v>
                </c:pt>
                <c:pt idx="20">
                  <c:v>0.89820834023614837</c:v>
                </c:pt>
                <c:pt idx="21">
                  <c:v>0.89731013189591224</c:v>
                </c:pt>
                <c:pt idx="22">
                  <c:v>0.89641282176401638</c:v>
                </c:pt>
                <c:pt idx="23">
                  <c:v>0.90180940624251993</c:v>
                </c:pt>
                <c:pt idx="24">
                  <c:v>0.90773527450337255</c:v>
                </c:pt>
                <c:pt idx="25">
                  <c:v>0.91045304478631672</c:v>
                </c:pt>
                <c:pt idx="26">
                  <c:v>0.90772168565195788</c:v>
                </c:pt>
                <c:pt idx="27">
                  <c:v>0.91010550796709178</c:v>
                </c:pt>
                <c:pt idx="28">
                  <c:v>0.95896761356872517</c:v>
                </c:pt>
                <c:pt idx="29">
                  <c:v>0.99888510959939536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07-4666-B223-CAA781F04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947872"/>
        <c:axId val="2079950752"/>
      </c:lineChart>
      <c:catAx>
        <c:axId val="207994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2079950752"/>
        <c:crosses val="autoZero"/>
        <c:auto val="1"/>
        <c:lblAlgn val="ctr"/>
        <c:lblOffset val="100"/>
        <c:noMultiLvlLbl val="0"/>
      </c:catAx>
      <c:valAx>
        <c:axId val="2079950752"/>
        <c:scaling>
          <c:orientation val="minMax"/>
          <c:max val="1.02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207994787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925938314261369"/>
          <c:w val="0.99243932773476251"/>
          <c:h val="5.396131379740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7680529103537"/>
          <c:y val="4.9299711189093508E-2"/>
          <c:w val="0.88316344031003347"/>
          <c:h val="0.74473160065610611"/>
        </c:manualLayout>
      </c:layout>
      <c:lineChart>
        <c:grouping val="standard"/>
        <c:varyColors val="0"/>
        <c:ser>
          <c:idx val="0"/>
          <c:order val="0"/>
          <c:tx>
            <c:strRef>
              <c:f>'DECORRENZA (2)'!$B$7</c:f>
              <c:strCache>
                <c:ptCount val="1"/>
                <c:pt idx="0">
                  <c:v>Vecchiaia&amp;Anzianità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'DECORRENZA (2)'!$C$6:$AF$6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(2)'!$C$7:$AF$7</c:f>
              <c:numCache>
                <c:formatCode>_-* #,##0_-;\-* #,##0_-;_-* "-"??_-;_-@_-</c:formatCode>
                <c:ptCount val="30"/>
                <c:pt idx="0">
                  <c:v>157888</c:v>
                </c:pt>
                <c:pt idx="1">
                  <c:v>239409</c:v>
                </c:pt>
                <c:pt idx="2">
                  <c:v>191521</c:v>
                </c:pt>
                <c:pt idx="3">
                  <c:v>170710</c:v>
                </c:pt>
                <c:pt idx="4">
                  <c:v>202375</c:v>
                </c:pt>
                <c:pt idx="5">
                  <c:v>166528</c:v>
                </c:pt>
                <c:pt idx="6">
                  <c:v>258183</c:v>
                </c:pt>
                <c:pt idx="7">
                  <c:v>275116</c:v>
                </c:pt>
                <c:pt idx="8">
                  <c:v>294141</c:v>
                </c:pt>
                <c:pt idx="9">
                  <c:v>316921</c:v>
                </c:pt>
                <c:pt idx="10">
                  <c:v>257850</c:v>
                </c:pt>
                <c:pt idx="11">
                  <c:v>359280</c:v>
                </c:pt>
                <c:pt idx="12">
                  <c:v>325512</c:v>
                </c:pt>
                <c:pt idx="13">
                  <c:v>274408</c:v>
                </c:pt>
                <c:pt idx="14">
                  <c:v>258716</c:v>
                </c:pt>
                <c:pt idx="15">
                  <c:v>317937</c:v>
                </c:pt>
                <c:pt idx="16">
                  <c:v>246652</c:v>
                </c:pt>
                <c:pt idx="17">
                  <c:v>240283</c:v>
                </c:pt>
                <c:pt idx="18">
                  <c:v>204536</c:v>
                </c:pt>
                <c:pt idx="19">
                  <c:v>178857</c:v>
                </c:pt>
                <c:pt idx="20">
                  <c:v>263480</c:v>
                </c:pt>
                <c:pt idx="21">
                  <c:v>205964</c:v>
                </c:pt>
                <c:pt idx="22">
                  <c:v>286435</c:v>
                </c:pt>
                <c:pt idx="23">
                  <c:v>288723</c:v>
                </c:pt>
                <c:pt idx="24">
                  <c:v>333001</c:v>
                </c:pt>
                <c:pt idx="25">
                  <c:v>412036</c:v>
                </c:pt>
                <c:pt idx="26">
                  <c:v>437454</c:v>
                </c:pt>
                <c:pt idx="27">
                  <c:v>426437</c:v>
                </c:pt>
                <c:pt idx="28">
                  <c:v>417382</c:v>
                </c:pt>
                <c:pt idx="29">
                  <c:v>366289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5-4E92-BAEE-5670D05258B2}"/>
            </c:ext>
          </c:extLst>
        </c:ser>
        <c:ser>
          <c:idx val="1"/>
          <c:order val="1"/>
          <c:tx>
            <c:strRef>
              <c:f>'DECORRENZA (2)'!$B$8</c:f>
              <c:strCache>
                <c:ptCount val="1"/>
                <c:pt idx="0">
                  <c:v>Invalidità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'DECORRENZA (2)'!$C$6:$AF$6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(2)'!$C$8:$AF$8</c:f>
              <c:numCache>
                <c:formatCode>_-* #,##0_-;\-* #,##0_-;_-* "-"??_-;_-@_-</c:formatCode>
                <c:ptCount val="30"/>
                <c:pt idx="0">
                  <c:v>4506</c:v>
                </c:pt>
                <c:pt idx="1">
                  <c:v>4514</c:v>
                </c:pt>
                <c:pt idx="2">
                  <c:v>4896</c:v>
                </c:pt>
                <c:pt idx="3">
                  <c:v>5219</c:v>
                </c:pt>
                <c:pt idx="4">
                  <c:v>5462</c:v>
                </c:pt>
                <c:pt idx="5">
                  <c:v>6361</c:v>
                </c:pt>
                <c:pt idx="6">
                  <c:v>7032</c:v>
                </c:pt>
                <c:pt idx="7">
                  <c:v>7860</c:v>
                </c:pt>
                <c:pt idx="8">
                  <c:v>8619</c:v>
                </c:pt>
                <c:pt idx="9">
                  <c:v>9606</c:v>
                </c:pt>
                <c:pt idx="10">
                  <c:v>10283</c:v>
                </c:pt>
                <c:pt idx="11">
                  <c:v>11876</c:v>
                </c:pt>
                <c:pt idx="12">
                  <c:v>12503</c:v>
                </c:pt>
                <c:pt idx="13">
                  <c:v>13139</c:v>
                </c:pt>
                <c:pt idx="14">
                  <c:v>13548</c:v>
                </c:pt>
                <c:pt idx="15">
                  <c:v>13325</c:v>
                </c:pt>
                <c:pt idx="16">
                  <c:v>12770</c:v>
                </c:pt>
                <c:pt idx="17">
                  <c:v>13627</c:v>
                </c:pt>
                <c:pt idx="18">
                  <c:v>15606</c:v>
                </c:pt>
                <c:pt idx="19">
                  <c:v>17117</c:v>
                </c:pt>
                <c:pt idx="20">
                  <c:v>18307</c:v>
                </c:pt>
                <c:pt idx="21">
                  <c:v>19151</c:v>
                </c:pt>
                <c:pt idx="22">
                  <c:v>20219</c:v>
                </c:pt>
                <c:pt idx="23">
                  <c:v>21638</c:v>
                </c:pt>
                <c:pt idx="24">
                  <c:v>26249</c:v>
                </c:pt>
                <c:pt idx="25">
                  <c:v>24413</c:v>
                </c:pt>
                <c:pt idx="26">
                  <c:v>29117</c:v>
                </c:pt>
                <c:pt idx="27">
                  <c:v>38959</c:v>
                </c:pt>
                <c:pt idx="28">
                  <c:v>46825</c:v>
                </c:pt>
                <c:pt idx="29">
                  <c:v>44025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5-4E92-BAEE-5670D05258B2}"/>
            </c:ext>
          </c:extLst>
        </c:ser>
        <c:ser>
          <c:idx val="2"/>
          <c:order val="2"/>
          <c:tx>
            <c:strRef>
              <c:f>'DECORRENZA (2)'!$B$9</c:f>
              <c:strCache>
                <c:ptCount val="1"/>
                <c:pt idx="0">
                  <c:v>Superstite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'DECORRENZA (2)'!$C$6:$AF$6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(2)'!$C$9:$AF$9</c:f>
              <c:numCache>
                <c:formatCode>_-* #,##0_-;\-* #,##0_-;_-* "-"??_-;_-@_-</c:formatCode>
                <c:ptCount val="30"/>
                <c:pt idx="0">
                  <c:v>38263</c:v>
                </c:pt>
                <c:pt idx="1">
                  <c:v>40227</c:v>
                </c:pt>
                <c:pt idx="2">
                  <c:v>43308</c:v>
                </c:pt>
                <c:pt idx="3">
                  <c:v>46888</c:v>
                </c:pt>
                <c:pt idx="4">
                  <c:v>48974</c:v>
                </c:pt>
                <c:pt idx="5">
                  <c:v>51677</c:v>
                </c:pt>
                <c:pt idx="6">
                  <c:v>55057</c:v>
                </c:pt>
                <c:pt idx="7">
                  <c:v>58727</c:v>
                </c:pt>
                <c:pt idx="8">
                  <c:v>63842</c:v>
                </c:pt>
                <c:pt idx="9">
                  <c:v>64790</c:v>
                </c:pt>
                <c:pt idx="10">
                  <c:v>69677</c:v>
                </c:pt>
                <c:pt idx="11">
                  <c:v>73795</c:v>
                </c:pt>
                <c:pt idx="12">
                  <c:v>77936</c:v>
                </c:pt>
                <c:pt idx="13">
                  <c:v>83274</c:v>
                </c:pt>
                <c:pt idx="14">
                  <c:v>89056</c:v>
                </c:pt>
                <c:pt idx="15">
                  <c:v>93495</c:v>
                </c:pt>
                <c:pt idx="16">
                  <c:v>99581</c:v>
                </c:pt>
                <c:pt idx="17">
                  <c:v>107109</c:v>
                </c:pt>
                <c:pt idx="18">
                  <c:v>112245</c:v>
                </c:pt>
                <c:pt idx="19">
                  <c:v>118111</c:v>
                </c:pt>
                <c:pt idx="20">
                  <c:v>129594</c:v>
                </c:pt>
                <c:pt idx="21">
                  <c:v>131719</c:v>
                </c:pt>
                <c:pt idx="22">
                  <c:v>143843</c:v>
                </c:pt>
                <c:pt idx="23">
                  <c:v>148669</c:v>
                </c:pt>
                <c:pt idx="24">
                  <c:v>157162</c:v>
                </c:pt>
                <c:pt idx="25">
                  <c:v>186913</c:v>
                </c:pt>
                <c:pt idx="26">
                  <c:v>196018</c:v>
                </c:pt>
                <c:pt idx="27">
                  <c:v>198534</c:v>
                </c:pt>
                <c:pt idx="28">
                  <c:v>190638</c:v>
                </c:pt>
                <c:pt idx="29">
                  <c:v>171377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5-4E92-BAEE-5670D05258B2}"/>
            </c:ext>
          </c:extLst>
        </c:ser>
        <c:ser>
          <c:idx val="3"/>
          <c:order val="3"/>
          <c:tx>
            <c:strRef>
              <c:f>'DECORRENZA (2)'!$B$10</c:f>
              <c:strCache>
                <c:ptCount val="1"/>
                <c:pt idx="0">
                  <c:v>Totale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'DECORRENZA (2)'!$C$6:$AF$6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(2)'!$C$10:$AF$10</c:f>
              <c:numCache>
                <c:formatCode>_-* #,##0_-;\-* #,##0_-;_-* "-"??_-;_-@_-</c:formatCode>
                <c:ptCount val="30"/>
                <c:pt idx="0">
                  <c:v>200657</c:v>
                </c:pt>
                <c:pt idx="1">
                  <c:v>284150</c:v>
                </c:pt>
                <c:pt idx="2">
                  <c:v>239725</c:v>
                </c:pt>
                <c:pt idx="3">
                  <c:v>222817</c:v>
                </c:pt>
                <c:pt idx="4">
                  <c:v>256811</c:v>
                </c:pt>
                <c:pt idx="5">
                  <c:v>224566</c:v>
                </c:pt>
                <c:pt idx="6">
                  <c:v>320272</c:v>
                </c:pt>
                <c:pt idx="7">
                  <c:v>341703</c:v>
                </c:pt>
                <c:pt idx="8">
                  <c:v>366602</c:v>
                </c:pt>
                <c:pt idx="9">
                  <c:v>391317</c:v>
                </c:pt>
                <c:pt idx="10">
                  <c:v>337810</c:v>
                </c:pt>
                <c:pt idx="11">
                  <c:v>444951</c:v>
                </c:pt>
                <c:pt idx="12">
                  <c:v>415951</c:v>
                </c:pt>
                <c:pt idx="13">
                  <c:v>370821</c:v>
                </c:pt>
                <c:pt idx="14">
                  <c:v>361320</c:v>
                </c:pt>
                <c:pt idx="15">
                  <c:v>424757</c:v>
                </c:pt>
                <c:pt idx="16">
                  <c:v>359003</c:v>
                </c:pt>
                <c:pt idx="17">
                  <c:v>361019</c:v>
                </c:pt>
                <c:pt idx="18">
                  <c:v>332387</c:v>
                </c:pt>
                <c:pt idx="19">
                  <c:v>314085</c:v>
                </c:pt>
                <c:pt idx="20">
                  <c:v>411381</c:v>
                </c:pt>
                <c:pt idx="21">
                  <c:v>356834</c:v>
                </c:pt>
                <c:pt idx="22">
                  <c:v>450497</c:v>
                </c:pt>
                <c:pt idx="23">
                  <c:v>459030</c:v>
                </c:pt>
                <c:pt idx="24">
                  <c:v>516412</c:v>
                </c:pt>
                <c:pt idx="25">
                  <c:v>623362</c:v>
                </c:pt>
                <c:pt idx="26">
                  <c:v>662589</c:v>
                </c:pt>
                <c:pt idx="27">
                  <c:v>663930</c:v>
                </c:pt>
                <c:pt idx="28">
                  <c:v>654845</c:v>
                </c:pt>
                <c:pt idx="29">
                  <c:v>581691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A-4D47-BA10-0CD47D59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400511"/>
        <c:axId val="1283400991"/>
      </c:lineChart>
      <c:lineChart>
        <c:grouping val="standard"/>
        <c:varyColors val="0"/>
        <c:ser>
          <c:idx val="4"/>
          <c:order val="4"/>
          <c:tx>
            <c:strRef>
              <c:f>'DECORRENZA (2)'!$B$11</c:f>
              <c:strCache>
                <c:ptCount val="1"/>
                <c:pt idx="0">
                  <c:v>Cumulata Totale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'DECORRENZA (2)'!$C$6:$AF$6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(2)'!$C$11:$AF$11</c:f>
              <c:numCache>
                <c:formatCode>_-* #,##0_-;\-* #,##0_-;_-* "-"??_-;_-@_-</c:formatCode>
                <c:ptCount val="30"/>
                <c:pt idx="0">
                  <c:v>200657</c:v>
                </c:pt>
                <c:pt idx="1">
                  <c:v>484807</c:v>
                </c:pt>
                <c:pt idx="2">
                  <c:v>724532</c:v>
                </c:pt>
                <c:pt idx="3">
                  <c:v>947349</c:v>
                </c:pt>
                <c:pt idx="4">
                  <c:v>1204160</c:v>
                </c:pt>
                <c:pt idx="5">
                  <c:v>1428726</c:v>
                </c:pt>
                <c:pt idx="6">
                  <c:v>1748998</c:v>
                </c:pt>
                <c:pt idx="7">
                  <c:v>2090701</c:v>
                </c:pt>
                <c:pt idx="8">
                  <c:v>2457303</c:v>
                </c:pt>
                <c:pt idx="9">
                  <c:v>2848620</c:v>
                </c:pt>
                <c:pt idx="10">
                  <c:v>3186430</c:v>
                </c:pt>
                <c:pt idx="11">
                  <c:v>3631381</c:v>
                </c:pt>
                <c:pt idx="12">
                  <c:v>4047332</c:v>
                </c:pt>
                <c:pt idx="13">
                  <c:v>4418153</c:v>
                </c:pt>
                <c:pt idx="14">
                  <c:v>4779473</c:v>
                </c:pt>
                <c:pt idx="15">
                  <c:v>5204230</c:v>
                </c:pt>
                <c:pt idx="16">
                  <c:v>5563233</c:v>
                </c:pt>
                <c:pt idx="17">
                  <c:v>5924252</c:v>
                </c:pt>
                <c:pt idx="18">
                  <c:v>6256639</c:v>
                </c:pt>
                <c:pt idx="19">
                  <c:v>6570724</c:v>
                </c:pt>
                <c:pt idx="20">
                  <c:v>6982105</c:v>
                </c:pt>
                <c:pt idx="21">
                  <c:v>7338939</c:v>
                </c:pt>
                <c:pt idx="22">
                  <c:v>7789436</c:v>
                </c:pt>
                <c:pt idx="23">
                  <c:v>8248466</c:v>
                </c:pt>
                <c:pt idx="24">
                  <c:v>8764878</c:v>
                </c:pt>
                <c:pt idx="25">
                  <c:v>9388240</c:v>
                </c:pt>
                <c:pt idx="26">
                  <c:v>10050829</c:v>
                </c:pt>
                <c:pt idx="27">
                  <c:v>10714759</c:v>
                </c:pt>
                <c:pt idx="28">
                  <c:v>11369604</c:v>
                </c:pt>
                <c:pt idx="29">
                  <c:v>11951295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6-4A38-929F-9F1ECBE5A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88368"/>
        <c:axId val="198976848"/>
      </c:lineChart>
      <c:catAx>
        <c:axId val="128340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83400991"/>
        <c:crosses val="autoZero"/>
        <c:auto val="1"/>
        <c:lblAlgn val="ctr"/>
        <c:lblOffset val="100"/>
        <c:noMultiLvlLbl val="0"/>
      </c:catAx>
      <c:valAx>
        <c:axId val="128340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83400511"/>
        <c:crosses val="autoZero"/>
        <c:crossBetween val="between"/>
      </c:valAx>
      <c:valAx>
        <c:axId val="198976848"/>
        <c:scaling>
          <c:orientation val="minMax"/>
          <c:max val="130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98988368"/>
        <c:crosses val="max"/>
        <c:crossBetween val="between"/>
      </c:valAx>
      <c:catAx>
        <c:axId val="19898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976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436923189850118"/>
          <c:w val="1"/>
          <c:h val="7.5630768101498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7680529103537"/>
          <c:y val="4.9299711189093508E-2"/>
          <c:w val="0.88316344031003347"/>
          <c:h val="0.74473160065610611"/>
        </c:manualLayout>
      </c:layout>
      <c:lineChart>
        <c:grouping val="standard"/>
        <c:varyColors val="0"/>
        <c:ser>
          <c:idx val="0"/>
          <c:order val="0"/>
          <c:tx>
            <c:strRef>
              <c:f>'DECORRENZA (6)'!$B$7</c:f>
              <c:strCache>
                <c:ptCount val="1"/>
                <c:pt idx="0">
                  <c:v>Vecchiaia&amp;Anzianità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'DECORRENZA (6)'!$C$6:$AF$6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(6)'!$C$7:$AF$7</c:f>
              <c:numCache>
                <c:formatCode>_-* #,##0_-;\-* #,##0_-;_-* "-"??_-;_-@_-</c:formatCode>
                <c:ptCount val="30"/>
                <c:pt idx="0">
                  <c:v>157888</c:v>
                </c:pt>
                <c:pt idx="1">
                  <c:v>239409</c:v>
                </c:pt>
                <c:pt idx="2">
                  <c:v>191521</c:v>
                </c:pt>
                <c:pt idx="3">
                  <c:v>170710</c:v>
                </c:pt>
                <c:pt idx="4">
                  <c:v>202375</c:v>
                </c:pt>
                <c:pt idx="5">
                  <c:v>166528</c:v>
                </c:pt>
                <c:pt idx="6">
                  <c:v>258183</c:v>
                </c:pt>
                <c:pt idx="7">
                  <c:v>275116</c:v>
                </c:pt>
                <c:pt idx="8">
                  <c:v>294141</c:v>
                </c:pt>
                <c:pt idx="9">
                  <c:v>316921</c:v>
                </c:pt>
                <c:pt idx="10">
                  <c:v>257850</c:v>
                </c:pt>
                <c:pt idx="11">
                  <c:v>359280</c:v>
                </c:pt>
                <c:pt idx="12">
                  <c:v>325512</c:v>
                </c:pt>
                <c:pt idx="13">
                  <c:v>274408</c:v>
                </c:pt>
                <c:pt idx="14">
                  <c:v>258716</c:v>
                </c:pt>
                <c:pt idx="15">
                  <c:v>317937</c:v>
                </c:pt>
                <c:pt idx="16">
                  <c:v>246652</c:v>
                </c:pt>
                <c:pt idx="17">
                  <c:v>240283</c:v>
                </c:pt>
                <c:pt idx="18">
                  <c:v>204536</c:v>
                </c:pt>
                <c:pt idx="19">
                  <c:v>178857</c:v>
                </c:pt>
                <c:pt idx="20">
                  <c:v>263480</c:v>
                </c:pt>
                <c:pt idx="21">
                  <c:v>205964</c:v>
                </c:pt>
                <c:pt idx="22">
                  <c:v>286435</c:v>
                </c:pt>
                <c:pt idx="23">
                  <c:v>288723</c:v>
                </c:pt>
                <c:pt idx="24">
                  <c:v>333001</c:v>
                </c:pt>
                <c:pt idx="25">
                  <c:v>412036</c:v>
                </c:pt>
                <c:pt idx="26">
                  <c:v>437454</c:v>
                </c:pt>
                <c:pt idx="27">
                  <c:v>426437</c:v>
                </c:pt>
                <c:pt idx="28">
                  <c:v>417382</c:v>
                </c:pt>
                <c:pt idx="29">
                  <c:v>366289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3-4B08-AD7D-29426CFAF163}"/>
            </c:ext>
          </c:extLst>
        </c:ser>
        <c:ser>
          <c:idx val="1"/>
          <c:order val="1"/>
          <c:tx>
            <c:strRef>
              <c:f>'DECORRENZA (6)'!$B$8</c:f>
              <c:strCache>
                <c:ptCount val="1"/>
                <c:pt idx="0">
                  <c:v>Invalidità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'DECORRENZA (6)'!$C$6:$AF$6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(6)'!$C$8:$AF$8</c:f>
              <c:numCache>
                <c:formatCode>_-* #,##0_-;\-* #,##0_-;_-* "-"??_-;_-@_-</c:formatCode>
                <c:ptCount val="30"/>
                <c:pt idx="0">
                  <c:v>4506</c:v>
                </c:pt>
                <c:pt idx="1">
                  <c:v>4514</c:v>
                </c:pt>
                <c:pt idx="2">
                  <c:v>4896</c:v>
                </c:pt>
                <c:pt idx="3">
                  <c:v>5219</c:v>
                </c:pt>
                <c:pt idx="4">
                  <c:v>5462</c:v>
                </c:pt>
                <c:pt idx="5">
                  <c:v>6361</c:v>
                </c:pt>
                <c:pt idx="6">
                  <c:v>7032</c:v>
                </c:pt>
                <c:pt idx="7">
                  <c:v>7860</c:v>
                </c:pt>
                <c:pt idx="8">
                  <c:v>8619</c:v>
                </c:pt>
                <c:pt idx="9">
                  <c:v>9606</c:v>
                </c:pt>
                <c:pt idx="10">
                  <c:v>10283</c:v>
                </c:pt>
                <c:pt idx="11">
                  <c:v>11876</c:v>
                </c:pt>
                <c:pt idx="12">
                  <c:v>12503</c:v>
                </c:pt>
                <c:pt idx="13">
                  <c:v>13139</c:v>
                </c:pt>
                <c:pt idx="14">
                  <c:v>13548</c:v>
                </c:pt>
                <c:pt idx="15">
                  <c:v>13325</c:v>
                </c:pt>
                <c:pt idx="16">
                  <c:v>12770</c:v>
                </c:pt>
                <c:pt idx="17">
                  <c:v>13627</c:v>
                </c:pt>
                <c:pt idx="18">
                  <c:v>15606</c:v>
                </c:pt>
                <c:pt idx="19">
                  <c:v>17117</c:v>
                </c:pt>
                <c:pt idx="20">
                  <c:v>18307</c:v>
                </c:pt>
                <c:pt idx="21">
                  <c:v>19151</c:v>
                </c:pt>
                <c:pt idx="22">
                  <c:v>20219</c:v>
                </c:pt>
                <c:pt idx="23">
                  <c:v>21638</c:v>
                </c:pt>
                <c:pt idx="24">
                  <c:v>26249</c:v>
                </c:pt>
                <c:pt idx="25">
                  <c:v>24413</c:v>
                </c:pt>
                <c:pt idx="26">
                  <c:v>29117</c:v>
                </c:pt>
                <c:pt idx="27">
                  <c:v>38959</c:v>
                </c:pt>
                <c:pt idx="28">
                  <c:v>46825</c:v>
                </c:pt>
                <c:pt idx="29">
                  <c:v>44025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3-4B08-AD7D-29426CFAF163}"/>
            </c:ext>
          </c:extLst>
        </c:ser>
        <c:ser>
          <c:idx val="2"/>
          <c:order val="2"/>
          <c:tx>
            <c:strRef>
              <c:f>'DECORRENZA (6)'!$B$9</c:f>
              <c:strCache>
                <c:ptCount val="1"/>
                <c:pt idx="0">
                  <c:v>Superstite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'DECORRENZA (6)'!$C$6:$AF$6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(6)'!$C$9:$AF$9</c:f>
              <c:numCache>
                <c:formatCode>_-* #,##0_-;\-* #,##0_-;_-* "-"??_-;_-@_-</c:formatCode>
                <c:ptCount val="30"/>
                <c:pt idx="0">
                  <c:v>38263</c:v>
                </c:pt>
                <c:pt idx="1">
                  <c:v>40227</c:v>
                </c:pt>
                <c:pt idx="2">
                  <c:v>43308</c:v>
                </c:pt>
                <c:pt idx="3">
                  <c:v>46888</c:v>
                </c:pt>
                <c:pt idx="4">
                  <c:v>48974</c:v>
                </c:pt>
                <c:pt idx="5">
                  <c:v>51677</c:v>
                </c:pt>
                <c:pt idx="6">
                  <c:v>55057</c:v>
                </c:pt>
                <c:pt idx="7">
                  <c:v>58727</c:v>
                </c:pt>
                <c:pt idx="8">
                  <c:v>63842</c:v>
                </c:pt>
                <c:pt idx="9">
                  <c:v>64790</c:v>
                </c:pt>
                <c:pt idx="10">
                  <c:v>69677</c:v>
                </c:pt>
                <c:pt idx="11">
                  <c:v>73795</c:v>
                </c:pt>
                <c:pt idx="12">
                  <c:v>77936</c:v>
                </c:pt>
                <c:pt idx="13">
                  <c:v>83274</c:v>
                </c:pt>
                <c:pt idx="14">
                  <c:v>89056</c:v>
                </c:pt>
                <c:pt idx="15">
                  <c:v>93495</c:v>
                </c:pt>
                <c:pt idx="16">
                  <c:v>99581</c:v>
                </c:pt>
                <c:pt idx="17">
                  <c:v>107109</c:v>
                </c:pt>
                <c:pt idx="18">
                  <c:v>112245</c:v>
                </c:pt>
                <c:pt idx="19">
                  <c:v>118111</c:v>
                </c:pt>
                <c:pt idx="20">
                  <c:v>129594</c:v>
                </c:pt>
                <c:pt idx="21">
                  <c:v>131719</c:v>
                </c:pt>
                <c:pt idx="22">
                  <c:v>143843</c:v>
                </c:pt>
                <c:pt idx="23">
                  <c:v>148669</c:v>
                </c:pt>
                <c:pt idx="24">
                  <c:v>157162</c:v>
                </c:pt>
                <c:pt idx="25">
                  <c:v>186913</c:v>
                </c:pt>
                <c:pt idx="26">
                  <c:v>196018</c:v>
                </c:pt>
                <c:pt idx="27">
                  <c:v>198534</c:v>
                </c:pt>
                <c:pt idx="28">
                  <c:v>190638</c:v>
                </c:pt>
                <c:pt idx="29">
                  <c:v>171377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3-4B08-AD7D-29426CFAF163}"/>
            </c:ext>
          </c:extLst>
        </c:ser>
        <c:ser>
          <c:idx val="3"/>
          <c:order val="3"/>
          <c:tx>
            <c:strRef>
              <c:f>'DECORRENZA (6)'!$B$10</c:f>
              <c:strCache>
                <c:ptCount val="1"/>
                <c:pt idx="0">
                  <c:v>Totale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'DECORRENZA (6)'!$C$6:$AF$6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(6)'!$C$10:$AF$10</c:f>
              <c:numCache>
                <c:formatCode>_-* #,##0_-;\-* #,##0_-;_-* "-"??_-;_-@_-</c:formatCode>
                <c:ptCount val="30"/>
                <c:pt idx="0">
                  <c:v>200657</c:v>
                </c:pt>
                <c:pt idx="1">
                  <c:v>284150</c:v>
                </c:pt>
                <c:pt idx="2">
                  <c:v>239725</c:v>
                </c:pt>
                <c:pt idx="3">
                  <c:v>222817</c:v>
                </c:pt>
                <c:pt idx="4">
                  <c:v>256811</c:v>
                </c:pt>
                <c:pt idx="5">
                  <c:v>224566</c:v>
                </c:pt>
                <c:pt idx="6">
                  <c:v>320272</c:v>
                </c:pt>
                <c:pt idx="7">
                  <c:v>341703</c:v>
                </c:pt>
                <c:pt idx="8">
                  <c:v>366602</c:v>
                </c:pt>
                <c:pt idx="9">
                  <c:v>391317</c:v>
                </c:pt>
                <c:pt idx="10">
                  <c:v>337810</c:v>
                </c:pt>
                <c:pt idx="11">
                  <c:v>444951</c:v>
                </c:pt>
                <c:pt idx="12">
                  <c:v>415951</c:v>
                </c:pt>
                <c:pt idx="13">
                  <c:v>370821</c:v>
                </c:pt>
                <c:pt idx="14">
                  <c:v>361320</c:v>
                </c:pt>
                <c:pt idx="15">
                  <c:v>424757</c:v>
                </c:pt>
                <c:pt idx="16">
                  <c:v>359003</c:v>
                </c:pt>
                <c:pt idx="17">
                  <c:v>361019</c:v>
                </c:pt>
                <c:pt idx="18">
                  <c:v>332387</c:v>
                </c:pt>
                <c:pt idx="19">
                  <c:v>314085</c:v>
                </c:pt>
                <c:pt idx="20">
                  <c:v>411381</c:v>
                </c:pt>
                <c:pt idx="21">
                  <c:v>356834</c:v>
                </c:pt>
                <c:pt idx="22">
                  <c:v>450497</c:v>
                </c:pt>
                <c:pt idx="23">
                  <c:v>459030</c:v>
                </c:pt>
                <c:pt idx="24">
                  <c:v>516412</c:v>
                </c:pt>
                <c:pt idx="25">
                  <c:v>623362</c:v>
                </c:pt>
                <c:pt idx="26">
                  <c:v>662589</c:v>
                </c:pt>
                <c:pt idx="27">
                  <c:v>663930</c:v>
                </c:pt>
                <c:pt idx="28">
                  <c:v>654845</c:v>
                </c:pt>
                <c:pt idx="29">
                  <c:v>581691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D3-4B08-AD7D-29426CFAF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400511"/>
        <c:axId val="1283400991"/>
      </c:lineChart>
      <c:lineChart>
        <c:grouping val="standard"/>
        <c:varyColors val="0"/>
        <c:ser>
          <c:idx val="4"/>
          <c:order val="4"/>
          <c:tx>
            <c:strRef>
              <c:f>'DECORRENZA (6)'!$B$11</c:f>
              <c:strCache>
                <c:ptCount val="1"/>
                <c:pt idx="0">
                  <c:v>Cumulata V&amp;A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'DECORRENZA (6)'!$C$6:$AF$6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(6)'!$C$11:$AF$11</c:f>
              <c:numCache>
                <c:formatCode>_-* #,##0_-;\-* #,##0_-;_-* "-"??_-;_-@_-</c:formatCode>
                <c:ptCount val="30"/>
                <c:pt idx="0">
                  <c:v>157888</c:v>
                </c:pt>
                <c:pt idx="1">
                  <c:v>397297</c:v>
                </c:pt>
                <c:pt idx="2">
                  <c:v>588818</c:v>
                </c:pt>
                <c:pt idx="3">
                  <c:v>759528</c:v>
                </c:pt>
                <c:pt idx="4">
                  <c:v>961903</c:v>
                </c:pt>
                <c:pt idx="5">
                  <c:v>1128431</c:v>
                </c:pt>
                <c:pt idx="6">
                  <c:v>1386614</c:v>
                </c:pt>
                <c:pt idx="7">
                  <c:v>1661730</c:v>
                </c:pt>
                <c:pt idx="8">
                  <c:v>1955871</c:v>
                </c:pt>
                <c:pt idx="9">
                  <c:v>2272792</c:v>
                </c:pt>
                <c:pt idx="10">
                  <c:v>2530642</c:v>
                </c:pt>
                <c:pt idx="11">
                  <c:v>2889922</c:v>
                </c:pt>
                <c:pt idx="12">
                  <c:v>3215434</c:v>
                </c:pt>
                <c:pt idx="13">
                  <c:v>3489842</c:v>
                </c:pt>
                <c:pt idx="14">
                  <c:v>3748558</c:v>
                </c:pt>
                <c:pt idx="15">
                  <c:v>4066495</c:v>
                </c:pt>
                <c:pt idx="16">
                  <c:v>4313147</c:v>
                </c:pt>
                <c:pt idx="17">
                  <c:v>4553430</c:v>
                </c:pt>
                <c:pt idx="18">
                  <c:v>4757966</c:v>
                </c:pt>
                <c:pt idx="19">
                  <c:v>4936823</c:v>
                </c:pt>
                <c:pt idx="20">
                  <c:v>5200303</c:v>
                </c:pt>
                <c:pt idx="21">
                  <c:v>5406267</c:v>
                </c:pt>
                <c:pt idx="22">
                  <c:v>5692702</c:v>
                </c:pt>
                <c:pt idx="23">
                  <c:v>5981425</c:v>
                </c:pt>
                <c:pt idx="24">
                  <c:v>6314426</c:v>
                </c:pt>
                <c:pt idx="25">
                  <c:v>6726462</c:v>
                </c:pt>
                <c:pt idx="26">
                  <c:v>7163916</c:v>
                </c:pt>
                <c:pt idx="27">
                  <c:v>7590353</c:v>
                </c:pt>
                <c:pt idx="28">
                  <c:v>8007735</c:v>
                </c:pt>
                <c:pt idx="29">
                  <c:v>8374024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D3-4B08-AD7D-29426CFAF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88368"/>
        <c:axId val="198976848"/>
      </c:lineChart>
      <c:catAx>
        <c:axId val="128340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83400991"/>
        <c:crosses val="autoZero"/>
        <c:auto val="1"/>
        <c:lblAlgn val="ctr"/>
        <c:lblOffset val="100"/>
        <c:noMultiLvlLbl val="0"/>
      </c:catAx>
      <c:valAx>
        <c:axId val="128340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83400511"/>
        <c:crosses val="autoZero"/>
        <c:crossBetween val="between"/>
      </c:valAx>
      <c:valAx>
        <c:axId val="198976848"/>
        <c:scaling>
          <c:orientation val="minMax"/>
          <c:max val="130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98988368"/>
        <c:crosses val="max"/>
        <c:crossBetween val="between"/>
      </c:valAx>
      <c:catAx>
        <c:axId val="19898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976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436923189850118"/>
          <c:w val="1"/>
          <c:h val="7.5630768101498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elasticità'!$K$11:$K$21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0.13004368320422824</c:v>
                </c:pt>
                <c:pt idx="2">
                  <c:v>0.20392760575765045</c:v>
                </c:pt>
                <c:pt idx="3">
                  <c:v>0.19503275727143551</c:v>
                </c:pt>
                <c:pt idx="4">
                  <c:v>0.15919826871694887</c:v>
                </c:pt>
                <c:pt idx="5">
                  <c:v>9.326351028234349E-2</c:v>
                </c:pt>
                <c:pt idx="6">
                  <c:v>5.5137839521878153E-2</c:v>
                </c:pt>
                <c:pt idx="7">
                  <c:v>3.3280064631675821E-2</c:v>
                </c:pt>
                <c:pt idx="8">
                  <c:v>2.278140988119666E-2</c:v>
                </c:pt>
                <c:pt idx="9">
                  <c:v>1.8321071090149795E-2</c:v>
                </c:pt>
                <c:pt idx="10">
                  <c:v>7.4001965496692801E-2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3-4394-A3FF-BFD4B51AF90A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elasticità'!$L$11:$L$21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0.14505550735002842</c:v>
                </c:pt>
                <c:pt idx="2">
                  <c:v>0.34898311310767888</c:v>
                </c:pt>
                <c:pt idx="3">
                  <c:v>0.54401587037911436</c:v>
                </c:pt>
                <c:pt idx="4">
                  <c:v>0.70321413909606323</c:v>
                </c:pt>
                <c:pt idx="5">
                  <c:v>0.7964776493784067</c:v>
                </c:pt>
                <c:pt idx="6">
                  <c:v>0.85161548890028482</c:v>
                </c:pt>
                <c:pt idx="7">
                  <c:v>0.8848955535319607</c:v>
                </c:pt>
                <c:pt idx="8">
                  <c:v>0.9076769634131574</c:v>
                </c:pt>
                <c:pt idx="9">
                  <c:v>0.9259980345033072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3-4394-A3FF-BFD4B51AF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033710629921258"/>
          <c:h val="6.6274385865521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84458559766702E-2"/>
          <c:y val="4.354076964691609E-2"/>
          <c:w val="0.91655370752906018"/>
          <c:h val="0.75497240522866127"/>
        </c:manualLayout>
      </c:layout>
      <c:lineChart>
        <c:grouping val="standard"/>
        <c:varyColors val="0"/>
        <c:ser>
          <c:idx val="0"/>
          <c:order val="0"/>
          <c:tx>
            <c:strRef>
              <c:f>'DECORRENZA (3)'!$B$7</c:f>
              <c:strCache>
                <c:ptCount val="1"/>
                <c:pt idx="0">
                  <c:v>Vecchiaia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'DECORRENZA (3)'!$C$6:$AF$6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(3)'!$C$7:$AF$7</c:f>
              <c:numCache>
                <c:formatCode>General</c:formatCode>
                <c:ptCount val="30"/>
                <c:pt idx="0">
                  <c:v>1.7943686216648222</c:v>
                </c:pt>
                <c:pt idx="1">
                  <c:v>1.7957779318167495</c:v>
                </c:pt>
                <c:pt idx="2">
                  <c:v>1.71087137103982</c:v>
                </c:pt>
                <c:pt idx="3">
                  <c:v>1.5937128530981866</c:v>
                </c:pt>
                <c:pt idx="4">
                  <c:v>1.6133860828094515</c:v>
                </c:pt>
                <c:pt idx="5">
                  <c:v>1.5960646551266675</c:v>
                </c:pt>
                <c:pt idx="6">
                  <c:v>1.5444474148532321</c:v>
                </c:pt>
                <c:pt idx="7">
                  <c:v>1.5067514069889367</c:v>
                </c:pt>
                <c:pt idx="8">
                  <c:v>1.4726742193746691</c:v>
                </c:pt>
                <c:pt idx="9">
                  <c:v>1.4301160520499887</c:v>
                </c:pt>
                <c:pt idx="10">
                  <c:v>1.4211114607863351</c:v>
                </c:pt>
                <c:pt idx="11">
                  <c:v>1.3827901889696799</c:v>
                </c:pt>
                <c:pt idx="12">
                  <c:v>1.3638271642673023</c:v>
                </c:pt>
                <c:pt idx="13">
                  <c:v>1.3117250797937641</c:v>
                </c:pt>
                <c:pt idx="14">
                  <c:v>1.2779048094844647</c:v>
                </c:pt>
                <c:pt idx="15">
                  <c:v>1.259054054054054</c:v>
                </c:pt>
                <c:pt idx="16">
                  <c:v>1.2292676900268711</c:v>
                </c:pt>
                <c:pt idx="17">
                  <c:v>1.2153535485131746</c:v>
                </c:pt>
                <c:pt idx="18">
                  <c:v>1.2131352528590003</c:v>
                </c:pt>
                <c:pt idx="19">
                  <c:v>1.1959074689104439</c:v>
                </c:pt>
                <c:pt idx="20">
                  <c:v>1.1827196670488811</c:v>
                </c:pt>
                <c:pt idx="21">
                  <c:v>1.1803227398822229</c:v>
                </c:pt>
                <c:pt idx="22">
                  <c:v>1.1806389210918045</c:v>
                </c:pt>
                <c:pt idx="23">
                  <c:v>1.1672785127900838</c:v>
                </c:pt>
                <c:pt idx="24">
                  <c:v>1.1551882634428914</c:v>
                </c:pt>
                <c:pt idx="25">
                  <c:v>1.1518724041902442</c:v>
                </c:pt>
                <c:pt idx="26">
                  <c:v>1.1537646266882458</c:v>
                </c:pt>
                <c:pt idx="27">
                  <c:v>1.1308058899905571</c:v>
                </c:pt>
                <c:pt idx="28">
                  <c:v>1.0591192148297084</c:v>
                </c:pt>
                <c:pt idx="29">
                  <c:v>1.0113934461097798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6-4A0F-9B2D-D421478F5938}"/>
            </c:ext>
          </c:extLst>
        </c:ser>
        <c:ser>
          <c:idx val="1"/>
          <c:order val="1"/>
          <c:tx>
            <c:strRef>
              <c:f>'DECORRENZA (3)'!$B$8</c:f>
              <c:strCache>
                <c:ptCount val="1"/>
                <c:pt idx="0">
                  <c:v>Invalidità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'DECORRENZA (3)'!$C$6:$AF$6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(3)'!$C$8:$AF$8</c:f>
              <c:numCache>
                <c:formatCode>General</c:formatCode>
                <c:ptCount val="30"/>
                <c:pt idx="0">
                  <c:v>1.9307426348771879</c:v>
                </c:pt>
                <c:pt idx="1">
                  <c:v>1.8999471758652398</c:v>
                </c:pt>
                <c:pt idx="2">
                  <c:v>1.819012504007695</c:v>
                </c:pt>
                <c:pt idx="3">
                  <c:v>1.8151173178246522</c:v>
                </c:pt>
                <c:pt idx="4">
                  <c:v>1.7806139050580283</c:v>
                </c:pt>
                <c:pt idx="5">
                  <c:v>1.7702721204860516</c:v>
                </c:pt>
                <c:pt idx="6">
                  <c:v>1.7053766242224899</c:v>
                </c:pt>
                <c:pt idx="7">
                  <c:v>1.6855611000759008</c:v>
                </c:pt>
                <c:pt idx="8">
                  <c:v>1.6502037409789385</c:v>
                </c:pt>
                <c:pt idx="9">
                  <c:v>1.6113986264362203</c:v>
                </c:pt>
                <c:pt idx="10">
                  <c:v>1.5578898075184084</c:v>
                </c:pt>
                <c:pt idx="11">
                  <c:v>1.5386297029702971</c:v>
                </c:pt>
                <c:pt idx="12">
                  <c:v>1.513453127971097</c:v>
                </c:pt>
                <c:pt idx="13">
                  <c:v>1.4882880875847364</c:v>
                </c:pt>
                <c:pt idx="14">
                  <c:v>1.4280249275004628</c:v>
                </c:pt>
                <c:pt idx="15">
                  <c:v>1.4185314902058022</c:v>
                </c:pt>
                <c:pt idx="16">
                  <c:v>1.3900205856146495</c:v>
                </c:pt>
                <c:pt idx="17">
                  <c:v>1.3508741130860946</c:v>
                </c:pt>
                <c:pt idx="18">
                  <c:v>1.302829215157943</c:v>
                </c:pt>
                <c:pt idx="19">
                  <c:v>1.2825095437583107</c:v>
                </c:pt>
                <c:pt idx="20">
                  <c:v>1.2763772846891672</c:v>
                </c:pt>
                <c:pt idx="21">
                  <c:v>1.2743978616461837</c:v>
                </c:pt>
                <c:pt idx="22">
                  <c:v>1.2759686099305183</c:v>
                </c:pt>
                <c:pt idx="23">
                  <c:v>1.2620892524035012</c:v>
                </c:pt>
                <c:pt idx="24">
                  <c:v>1.2341598201031763</c:v>
                </c:pt>
                <c:pt idx="25">
                  <c:v>1.2058540005258085</c:v>
                </c:pt>
                <c:pt idx="26">
                  <c:v>1.2151692520615882</c:v>
                </c:pt>
                <c:pt idx="27">
                  <c:v>1.180571361872246</c:v>
                </c:pt>
                <c:pt idx="28">
                  <c:v>1.0785678085663017</c:v>
                </c:pt>
                <c:pt idx="29">
                  <c:v>1.0125911547138133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6-4A0F-9B2D-D421478F5938}"/>
            </c:ext>
          </c:extLst>
        </c:ser>
        <c:ser>
          <c:idx val="2"/>
          <c:order val="2"/>
          <c:tx>
            <c:strRef>
              <c:f>'DECORRENZA (3)'!$B$9</c:f>
              <c:strCache>
                <c:ptCount val="1"/>
                <c:pt idx="0">
                  <c:v>Superstite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'DECORRENZA (3)'!$C$6:$AF$6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(3)'!$C$9:$AF$9</c:f>
              <c:numCache>
                <c:formatCode>General</c:formatCode>
                <c:ptCount val="30"/>
                <c:pt idx="0">
                  <c:v>1.7000641819098703</c:v>
                </c:pt>
                <c:pt idx="1">
                  <c:v>1.5880442397095975</c:v>
                </c:pt>
                <c:pt idx="2">
                  <c:v>1.5408046913178042</c:v>
                </c:pt>
                <c:pt idx="3">
                  <c:v>1.532079801904455</c:v>
                </c:pt>
                <c:pt idx="4">
                  <c:v>1.5164935554981829</c:v>
                </c:pt>
                <c:pt idx="5">
                  <c:v>1.4918259312599742</c:v>
                </c:pt>
                <c:pt idx="6">
                  <c:v>1.450350179822071</c:v>
                </c:pt>
                <c:pt idx="7">
                  <c:v>1.4115553272296939</c:v>
                </c:pt>
                <c:pt idx="8">
                  <c:v>1.3865122126436782</c:v>
                </c:pt>
                <c:pt idx="9">
                  <c:v>1.3552521301857801</c:v>
                </c:pt>
                <c:pt idx="10">
                  <c:v>1.3390337383771891</c:v>
                </c:pt>
                <c:pt idx="11">
                  <c:v>1.3175819353967666</c:v>
                </c:pt>
                <c:pt idx="12">
                  <c:v>1.2946806031756599</c:v>
                </c:pt>
                <c:pt idx="13">
                  <c:v>1.2769280886065639</c:v>
                </c:pt>
                <c:pt idx="14">
                  <c:v>1.2408312572924223</c:v>
                </c:pt>
                <c:pt idx="15">
                  <c:v>1.2449011907778058</c:v>
                </c:pt>
                <c:pt idx="16">
                  <c:v>1.2287596899224806</c:v>
                </c:pt>
                <c:pt idx="17">
                  <c:v>1.207642207140031</c:v>
                </c:pt>
                <c:pt idx="18">
                  <c:v>1.1871772225798243</c:v>
                </c:pt>
                <c:pt idx="19">
                  <c:v>1.165090472565439</c:v>
                </c:pt>
                <c:pt idx="20">
                  <c:v>1.1737746470570898</c:v>
                </c:pt>
                <c:pt idx="21">
                  <c:v>1.1763444019982368</c:v>
                </c:pt>
                <c:pt idx="22">
                  <c:v>1.1795616583047266</c:v>
                </c:pt>
                <c:pt idx="23">
                  <c:v>1.168367938754205</c:v>
                </c:pt>
                <c:pt idx="24">
                  <c:v>1.1576614575141906</c:v>
                </c:pt>
                <c:pt idx="25">
                  <c:v>1.1523638339673117</c:v>
                </c:pt>
                <c:pt idx="26">
                  <c:v>1.1534949710625386</c:v>
                </c:pt>
                <c:pt idx="27">
                  <c:v>1.1363767936153495</c:v>
                </c:pt>
                <c:pt idx="28">
                  <c:v>1.0495646349631615</c:v>
                </c:pt>
                <c:pt idx="29">
                  <c:v>1.0020104068117313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26-4A0F-9B2D-D421478F5938}"/>
            </c:ext>
          </c:extLst>
        </c:ser>
        <c:ser>
          <c:idx val="3"/>
          <c:order val="3"/>
          <c:tx>
            <c:strRef>
              <c:f>'DECORRENZA (3)'!$B$10</c:f>
              <c:strCache>
                <c:ptCount val="1"/>
                <c:pt idx="0">
                  <c:v>Totale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'DECORRENZA (3)'!$C$6:$AF$6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(3)'!$C$10:$AF$10</c:f>
              <c:numCache>
                <c:formatCode>General</c:formatCode>
                <c:ptCount val="30"/>
                <c:pt idx="0">
                  <c:v>1.7860143282445859</c:v>
                </c:pt>
                <c:pt idx="1">
                  <c:v>1.7782919873002203</c:v>
                </c:pt>
                <c:pt idx="2">
                  <c:v>1.6947638926034023</c:v>
                </c:pt>
                <c:pt idx="3">
                  <c:v>1.5893507593634657</c:v>
                </c:pt>
                <c:pt idx="4">
                  <c:v>1.6045901560796807</c:v>
                </c:pt>
                <c:pt idx="5">
                  <c:v>1.5847320368081967</c:v>
                </c:pt>
                <c:pt idx="6">
                  <c:v>1.5370210683322458</c:v>
                </c:pt>
                <c:pt idx="7">
                  <c:v>1.4993433363164073</c:v>
                </c:pt>
                <c:pt idx="8">
                  <c:v>1.4660972850678733</c:v>
                </c:pt>
                <c:pt idx="9">
                  <c:v>1.4254079882646071</c:v>
                </c:pt>
                <c:pt idx="10">
                  <c:v>1.4124882751742398</c:v>
                </c:pt>
                <c:pt idx="11">
                  <c:v>1.378650884979999</c:v>
                </c:pt>
                <c:pt idx="12">
                  <c:v>1.3583282387595177</c:v>
                </c:pt>
                <c:pt idx="13">
                  <c:v>1.3109672600522844</c:v>
                </c:pt>
                <c:pt idx="14">
                  <c:v>1.2755883401194501</c:v>
                </c:pt>
                <c:pt idx="15">
                  <c:v>1.2602607389836344</c:v>
                </c:pt>
                <c:pt idx="16">
                  <c:v>1.232596052571324</c:v>
                </c:pt>
                <c:pt idx="17">
                  <c:v>1.2172786468367109</c:v>
                </c:pt>
                <c:pt idx="18">
                  <c:v>1.2102272727272727</c:v>
                </c:pt>
                <c:pt idx="19">
                  <c:v>1.1912310594535385</c:v>
                </c:pt>
                <c:pt idx="20">
                  <c:v>1.1835784932019244</c:v>
                </c:pt>
                <c:pt idx="21">
                  <c:v>1.1825335085883921</c:v>
                </c:pt>
                <c:pt idx="22">
                  <c:v>1.1829566045922055</c:v>
                </c:pt>
                <c:pt idx="23">
                  <c:v>1.1700304708233678</c:v>
                </c:pt>
                <c:pt idx="24">
                  <c:v>1.1577498682730798</c:v>
                </c:pt>
                <c:pt idx="25">
                  <c:v>1.1531476346177725</c:v>
                </c:pt>
                <c:pt idx="26">
                  <c:v>1.1553283692455849</c:v>
                </c:pt>
                <c:pt idx="27">
                  <c:v>1.1336495832594431</c:v>
                </c:pt>
                <c:pt idx="28">
                  <c:v>1.0581017683146881</c:v>
                </c:pt>
                <c:pt idx="29">
                  <c:v>1.0094979874308572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26-4A0F-9B2D-D421478F5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946255"/>
        <c:axId val="529941455"/>
      </c:lineChart>
      <c:catAx>
        <c:axId val="52994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29941455"/>
        <c:crosses val="autoZero"/>
        <c:auto val="1"/>
        <c:lblAlgn val="ctr"/>
        <c:lblOffset val="100"/>
        <c:noMultiLvlLbl val="0"/>
      </c:catAx>
      <c:valAx>
        <c:axId val="529941455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2994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25223910147989"/>
          <c:y val="0.92436925858836305"/>
          <c:w val="0.64549533160345929"/>
          <c:h val="7.563074141163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8779408903001"/>
          <c:y val="2.4451947567564913E-2"/>
          <c:w val="0.87346784183622617"/>
          <c:h val="0.78205113823982431"/>
        </c:manualLayout>
      </c:layout>
      <c:lineChart>
        <c:grouping val="standard"/>
        <c:varyColors val="0"/>
        <c:ser>
          <c:idx val="0"/>
          <c:order val="0"/>
          <c:tx>
            <c:strRef>
              <c:f>'DECORRENZA (5)'!$B$7</c:f>
              <c:strCache>
                <c:ptCount val="1"/>
                <c:pt idx="0">
                  <c:v>Vecchiaia&amp;Anzianità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'DECORRENZA (5)'!$C$6:$AF$6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(5)'!$C$7:$AF$7</c:f>
              <c:numCache>
                <c:formatCode>_-* #,##0_-;\-* #,##0_-;_-* "-"??_-;_-@_-</c:formatCode>
                <c:ptCount val="30"/>
                <c:pt idx="0">
                  <c:v>16152</c:v>
                </c:pt>
                <c:pt idx="1">
                  <c:v>54356</c:v>
                </c:pt>
                <c:pt idx="2">
                  <c:v>74640</c:v>
                </c:pt>
                <c:pt idx="3">
                  <c:v>32005</c:v>
                </c:pt>
                <c:pt idx="4">
                  <c:v>40554</c:v>
                </c:pt>
                <c:pt idx="5">
                  <c:v>38823</c:v>
                </c:pt>
                <c:pt idx="6">
                  <c:v>30337</c:v>
                </c:pt>
                <c:pt idx="7">
                  <c:v>32369</c:v>
                </c:pt>
                <c:pt idx="8">
                  <c:v>39658</c:v>
                </c:pt>
                <c:pt idx="9">
                  <c:v>40188</c:v>
                </c:pt>
                <c:pt idx="10">
                  <c:v>41636</c:v>
                </c:pt>
                <c:pt idx="11">
                  <c:v>68990</c:v>
                </c:pt>
                <c:pt idx="12">
                  <c:v>89479</c:v>
                </c:pt>
                <c:pt idx="13">
                  <c:v>59605</c:v>
                </c:pt>
                <c:pt idx="14">
                  <c:v>72854</c:v>
                </c:pt>
                <c:pt idx="15">
                  <c:v>77651</c:v>
                </c:pt>
                <c:pt idx="16">
                  <c:v>80158</c:v>
                </c:pt>
                <c:pt idx="17">
                  <c:v>70827</c:v>
                </c:pt>
                <c:pt idx="18">
                  <c:v>38543</c:v>
                </c:pt>
                <c:pt idx="19">
                  <c:v>50946</c:v>
                </c:pt>
                <c:pt idx="20">
                  <c:v>78852</c:v>
                </c:pt>
                <c:pt idx="21">
                  <c:v>63185</c:v>
                </c:pt>
                <c:pt idx="22">
                  <c:v>74473</c:v>
                </c:pt>
                <c:pt idx="23">
                  <c:v>104045</c:v>
                </c:pt>
                <c:pt idx="24">
                  <c:v>111117</c:v>
                </c:pt>
                <c:pt idx="25">
                  <c:v>121714</c:v>
                </c:pt>
                <c:pt idx="26">
                  <c:v>117124</c:v>
                </c:pt>
                <c:pt idx="27">
                  <c:v>100411</c:v>
                </c:pt>
                <c:pt idx="28">
                  <c:v>87504</c:v>
                </c:pt>
                <c:pt idx="29">
                  <c:v>82418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E-45E7-A06A-3F7576D561F7}"/>
            </c:ext>
          </c:extLst>
        </c:ser>
        <c:ser>
          <c:idx val="1"/>
          <c:order val="1"/>
          <c:tx>
            <c:strRef>
              <c:f>'DECORRENZA (5)'!$B$8</c:f>
              <c:strCache>
                <c:ptCount val="1"/>
                <c:pt idx="0">
                  <c:v>Invalidità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'DECORRENZA (5)'!$C$6:$AF$6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(5)'!$C$8:$AF$8</c:f>
              <c:numCache>
                <c:formatCode>_-* #,##0_-;\-* #,##0_-;_-* "-"??_-;_-@_-</c:formatCode>
                <c:ptCount val="30"/>
                <c:pt idx="0">
                  <c:v>3146</c:v>
                </c:pt>
                <c:pt idx="1">
                  <c:v>2818</c:v>
                </c:pt>
                <c:pt idx="2">
                  <c:v>3576</c:v>
                </c:pt>
                <c:pt idx="3">
                  <c:v>3173</c:v>
                </c:pt>
                <c:pt idx="4">
                  <c:v>2941</c:v>
                </c:pt>
                <c:pt idx="5">
                  <c:v>2982</c:v>
                </c:pt>
                <c:pt idx="6">
                  <c:v>3379</c:v>
                </c:pt>
                <c:pt idx="7">
                  <c:v>3691</c:v>
                </c:pt>
                <c:pt idx="8">
                  <c:v>4162</c:v>
                </c:pt>
                <c:pt idx="9">
                  <c:v>3934</c:v>
                </c:pt>
                <c:pt idx="10">
                  <c:v>3526</c:v>
                </c:pt>
                <c:pt idx="11">
                  <c:v>4266</c:v>
                </c:pt>
                <c:pt idx="12">
                  <c:v>5035</c:v>
                </c:pt>
                <c:pt idx="13">
                  <c:v>5027</c:v>
                </c:pt>
                <c:pt idx="14">
                  <c:v>5265</c:v>
                </c:pt>
                <c:pt idx="15">
                  <c:v>6789</c:v>
                </c:pt>
                <c:pt idx="16">
                  <c:v>6142</c:v>
                </c:pt>
                <c:pt idx="17">
                  <c:v>7079</c:v>
                </c:pt>
                <c:pt idx="18">
                  <c:v>6295</c:v>
                </c:pt>
                <c:pt idx="19">
                  <c:v>5998</c:v>
                </c:pt>
                <c:pt idx="20">
                  <c:v>6341</c:v>
                </c:pt>
                <c:pt idx="21">
                  <c:v>6654</c:v>
                </c:pt>
                <c:pt idx="22">
                  <c:v>6324</c:v>
                </c:pt>
                <c:pt idx="23">
                  <c:v>6859</c:v>
                </c:pt>
                <c:pt idx="24">
                  <c:v>6320</c:v>
                </c:pt>
                <c:pt idx="25">
                  <c:v>4947</c:v>
                </c:pt>
                <c:pt idx="26">
                  <c:v>5590</c:v>
                </c:pt>
                <c:pt idx="27">
                  <c:v>5037</c:v>
                </c:pt>
                <c:pt idx="28">
                  <c:v>4249</c:v>
                </c:pt>
                <c:pt idx="29">
                  <c:v>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E-45E7-A06A-3F7576D561F7}"/>
            </c:ext>
          </c:extLst>
        </c:ser>
        <c:ser>
          <c:idx val="2"/>
          <c:order val="2"/>
          <c:tx>
            <c:strRef>
              <c:f>'DECORRENZA (5)'!$B$9</c:f>
              <c:strCache>
                <c:ptCount val="1"/>
                <c:pt idx="0">
                  <c:v>Superstite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'DECORRENZA (5)'!$C$6:$AF$6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(5)'!$C$9:$AF$9</c:f>
              <c:numCache>
                <c:formatCode>_-* #,##0_-;\-* #,##0_-;_-* "-"??_-;_-@_-</c:formatCode>
                <c:ptCount val="30"/>
                <c:pt idx="0">
                  <c:v>6182</c:v>
                </c:pt>
                <c:pt idx="1">
                  <c:v>7139</c:v>
                </c:pt>
                <c:pt idx="2">
                  <c:v>7836</c:v>
                </c:pt>
                <c:pt idx="3">
                  <c:v>8370</c:v>
                </c:pt>
                <c:pt idx="4">
                  <c:v>8816</c:v>
                </c:pt>
                <c:pt idx="5">
                  <c:v>9451</c:v>
                </c:pt>
                <c:pt idx="6">
                  <c:v>9863</c:v>
                </c:pt>
                <c:pt idx="7">
                  <c:v>10354</c:v>
                </c:pt>
                <c:pt idx="8">
                  <c:v>11605</c:v>
                </c:pt>
                <c:pt idx="9">
                  <c:v>11885</c:v>
                </c:pt>
                <c:pt idx="10">
                  <c:v>12846</c:v>
                </c:pt>
                <c:pt idx="11">
                  <c:v>13233</c:v>
                </c:pt>
                <c:pt idx="12">
                  <c:v>14158</c:v>
                </c:pt>
                <c:pt idx="13">
                  <c:v>15166</c:v>
                </c:pt>
                <c:pt idx="14">
                  <c:v>16096</c:v>
                </c:pt>
                <c:pt idx="15">
                  <c:v>17074</c:v>
                </c:pt>
                <c:pt idx="16">
                  <c:v>18513</c:v>
                </c:pt>
                <c:pt idx="17">
                  <c:v>20104</c:v>
                </c:pt>
                <c:pt idx="18">
                  <c:v>20939</c:v>
                </c:pt>
                <c:pt idx="19">
                  <c:v>21943</c:v>
                </c:pt>
                <c:pt idx="20">
                  <c:v>24442</c:v>
                </c:pt>
                <c:pt idx="21">
                  <c:v>24969</c:v>
                </c:pt>
                <c:pt idx="22">
                  <c:v>27037</c:v>
                </c:pt>
                <c:pt idx="23">
                  <c:v>27715</c:v>
                </c:pt>
                <c:pt idx="24">
                  <c:v>29816</c:v>
                </c:pt>
                <c:pt idx="25">
                  <c:v>34706</c:v>
                </c:pt>
                <c:pt idx="26">
                  <c:v>37067</c:v>
                </c:pt>
                <c:pt idx="27">
                  <c:v>37849</c:v>
                </c:pt>
                <c:pt idx="28">
                  <c:v>37017</c:v>
                </c:pt>
                <c:pt idx="29">
                  <c:v>28846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E-45E7-A06A-3F7576D561F7}"/>
            </c:ext>
          </c:extLst>
        </c:ser>
        <c:ser>
          <c:idx val="3"/>
          <c:order val="3"/>
          <c:tx>
            <c:strRef>
              <c:f>'DECORRENZA (5)'!$B$10</c:f>
              <c:strCache>
                <c:ptCount val="1"/>
                <c:pt idx="0">
                  <c:v>Totale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'DECORRENZA (5)'!$C$6:$AF$6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(5)'!$C$10:$AF$10</c:f>
              <c:numCache>
                <c:formatCode>_-* #,##0_-;\-* #,##0_-;_-* "-"??_-;_-@_-</c:formatCode>
                <c:ptCount val="30"/>
                <c:pt idx="0">
                  <c:v>25480</c:v>
                </c:pt>
                <c:pt idx="1">
                  <c:v>64313</c:v>
                </c:pt>
                <c:pt idx="2">
                  <c:v>86052</c:v>
                </c:pt>
                <c:pt idx="3">
                  <c:v>43548</c:v>
                </c:pt>
                <c:pt idx="4">
                  <c:v>52311</c:v>
                </c:pt>
                <c:pt idx="5">
                  <c:v>51256</c:v>
                </c:pt>
                <c:pt idx="6">
                  <c:v>43579</c:v>
                </c:pt>
                <c:pt idx="7">
                  <c:v>46414</c:v>
                </c:pt>
                <c:pt idx="8">
                  <c:v>55425</c:v>
                </c:pt>
                <c:pt idx="9">
                  <c:v>56007</c:v>
                </c:pt>
                <c:pt idx="10">
                  <c:v>58008</c:v>
                </c:pt>
                <c:pt idx="11">
                  <c:v>86489</c:v>
                </c:pt>
                <c:pt idx="12">
                  <c:v>108672</c:v>
                </c:pt>
                <c:pt idx="13">
                  <c:v>79798</c:v>
                </c:pt>
                <c:pt idx="14">
                  <c:v>94215</c:v>
                </c:pt>
                <c:pt idx="15">
                  <c:v>101514</c:v>
                </c:pt>
                <c:pt idx="16">
                  <c:v>104813</c:v>
                </c:pt>
                <c:pt idx="17">
                  <c:v>98010</c:v>
                </c:pt>
                <c:pt idx="18">
                  <c:v>65777</c:v>
                </c:pt>
                <c:pt idx="19">
                  <c:v>78887</c:v>
                </c:pt>
                <c:pt idx="20">
                  <c:v>109635</c:v>
                </c:pt>
                <c:pt idx="21">
                  <c:v>94808</c:v>
                </c:pt>
                <c:pt idx="22">
                  <c:v>107834</c:v>
                </c:pt>
                <c:pt idx="23">
                  <c:v>138619</c:v>
                </c:pt>
                <c:pt idx="24">
                  <c:v>147253</c:v>
                </c:pt>
                <c:pt idx="25">
                  <c:v>161367</c:v>
                </c:pt>
                <c:pt idx="26">
                  <c:v>159781</c:v>
                </c:pt>
                <c:pt idx="27">
                  <c:v>143297</c:v>
                </c:pt>
                <c:pt idx="28">
                  <c:v>128770</c:v>
                </c:pt>
                <c:pt idx="29">
                  <c:v>113776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FE-45E7-A06A-3F7576D56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400511"/>
        <c:axId val="1283400991"/>
      </c:lineChart>
      <c:lineChart>
        <c:grouping val="standard"/>
        <c:varyColors val="0"/>
        <c:ser>
          <c:idx val="4"/>
          <c:order val="4"/>
          <c:tx>
            <c:strRef>
              <c:f>'DECORRENZA (5)'!$B$11</c:f>
              <c:strCache>
                <c:ptCount val="1"/>
                <c:pt idx="0">
                  <c:v>Cumulata Totale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'DECORRENZA (5)'!$C$6:$AF$6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(5)'!$C$11:$AF$11</c:f>
              <c:numCache>
                <c:formatCode>_-* #,##0_-;\-* #,##0_-;_-* "-"??_-;_-@_-</c:formatCode>
                <c:ptCount val="30"/>
                <c:pt idx="0">
                  <c:v>25480</c:v>
                </c:pt>
                <c:pt idx="1">
                  <c:v>89793</c:v>
                </c:pt>
                <c:pt idx="2">
                  <c:v>175845</c:v>
                </c:pt>
                <c:pt idx="3">
                  <c:v>219393</c:v>
                </c:pt>
                <c:pt idx="4">
                  <c:v>271704</c:v>
                </c:pt>
                <c:pt idx="5">
                  <c:v>322960</c:v>
                </c:pt>
                <c:pt idx="6">
                  <c:v>366539</c:v>
                </c:pt>
                <c:pt idx="7">
                  <c:v>412953</c:v>
                </c:pt>
                <c:pt idx="8">
                  <c:v>468378</c:v>
                </c:pt>
                <c:pt idx="9">
                  <c:v>524385</c:v>
                </c:pt>
                <c:pt idx="10">
                  <c:v>582393</c:v>
                </c:pt>
                <c:pt idx="11">
                  <c:v>668882</c:v>
                </c:pt>
                <c:pt idx="12">
                  <c:v>777554</c:v>
                </c:pt>
                <c:pt idx="13">
                  <c:v>857352</c:v>
                </c:pt>
                <c:pt idx="14">
                  <c:v>951567</c:v>
                </c:pt>
                <c:pt idx="15">
                  <c:v>1053081</c:v>
                </c:pt>
                <c:pt idx="16">
                  <c:v>1157894</c:v>
                </c:pt>
                <c:pt idx="17">
                  <c:v>1255904</c:v>
                </c:pt>
                <c:pt idx="18">
                  <c:v>1321681</c:v>
                </c:pt>
                <c:pt idx="19">
                  <c:v>1400568</c:v>
                </c:pt>
                <c:pt idx="20">
                  <c:v>1510203</c:v>
                </c:pt>
                <c:pt idx="21">
                  <c:v>1605011</c:v>
                </c:pt>
                <c:pt idx="22">
                  <c:v>1712845</c:v>
                </c:pt>
                <c:pt idx="23">
                  <c:v>1851464</c:v>
                </c:pt>
                <c:pt idx="24">
                  <c:v>1998717</c:v>
                </c:pt>
                <c:pt idx="25">
                  <c:v>2160084</c:v>
                </c:pt>
                <c:pt idx="26">
                  <c:v>2319865</c:v>
                </c:pt>
                <c:pt idx="27">
                  <c:v>2463162</c:v>
                </c:pt>
                <c:pt idx="28">
                  <c:v>2591932</c:v>
                </c:pt>
                <c:pt idx="29">
                  <c:v>2705708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4-4B73-BDC9-E404043D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78288"/>
        <c:axId val="198977808"/>
      </c:lineChart>
      <c:catAx>
        <c:axId val="128340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83400991"/>
        <c:crosses val="autoZero"/>
        <c:auto val="1"/>
        <c:lblAlgn val="ctr"/>
        <c:lblOffset val="100"/>
        <c:noMultiLvlLbl val="0"/>
      </c:catAx>
      <c:valAx>
        <c:axId val="128340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83400511"/>
        <c:crosses val="autoZero"/>
        <c:crossBetween val="between"/>
      </c:valAx>
      <c:valAx>
        <c:axId val="198977808"/>
        <c:scaling>
          <c:orientation val="minMax"/>
          <c:max val="28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98978288"/>
        <c:crosses val="max"/>
        <c:crossBetween val="between"/>
      </c:valAx>
      <c:catAx>
        <c:axId val="19897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977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487427867543393"/>
          <c:w val="1"/>
          <c:h val="7.51257213245660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8779408903001"/>
          <c:y val="2.4451947567564913E-2"/>
          <c:w val="0.87346784183622617"/>
          <c:h val="0.78205113823982431"/>
        </c:manualLayout>
      </c:layout>
      <c:lineChart>
        <c:grouping val="standard"/>
        <c:varyColors val="0"/>
        <c:ser>
          <c:idx val="0"/>
          <c:order val="0"/>
          <c:tx>
            <c:strRef>
              <c:f>'DECORRENZA (7)'!$B$7</c:f>
              <c:strCache>
                <c:ptCount val="1"/>
                <c:pt idx="0">
                  <c:v>Vecchiaia&amp;Anzianità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'DECORRENZA (7)'!$C$6:$AF$6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(7)'!$C$7:$AF$7</c:f>
              <c:numCache>
                <c:formatCode>_-* #,##0_-;\-* #,##0_-;_-* "-"??_-;_-@_-</c:formatCode>
                <c:ptCount val="30"/>
                <c:pt idx="0">
                  <c:v>16152</c:v>
                </c:pt>
                <c:pt idx="1">
                  <c:v>54356</c:v>
                </c:pt>
                <c:pt idx="2">
                  <c:v>74640</c:v>
                </c:pt>
                <c:pt idx="3">
                  <c:v>32005</c:v>
                </c:pt>
                <c:pt idx="4">
                  <c:v>40554</c:v>
                </c:pt>
                <c:pt idx="5">
                  <c:v>38823</c:v>
                </c:pt>
                <c:pt idx="6">
                  <c:v>30337</c:v>
                </c:pt>
                <c:pt idx="7">
                  <c:v>32369</c:v>
                </c:pt>
                <c:pt idx="8">
                  <c:v>39658</c:v>
                </c:pt>
                <c:pt idx="9">
                  <c:v>40188</c:v>
                </c:pt>
                <c:pt idx="10">
                  <c:v>41636</c:v>
                </c:pt>
                <c:pt idx="11">
                  <c:v>68990</c:v>
                </c:pt>
                <c:pt idx="12">
                  <c:v>89479</c:v>
                </c:pt>
                <c:pt idx="13">
                  <c:v>59605</c:v>
                </c:pt>
                <c:pt idx="14">
                  <c:v>72854</c:v>
                </c:pt>
                <c:pt idx="15">
                  <c:v>77651</c:v>
                </c:pt>
                <c:pt idx="16">
                  <c:v>80158</c:v>
                </c:pt>
                <c:pt idx="17">
                  <c:v>70827</c:v>
                </c:pt>
                <c:pt idx="18">
                  <c:v>38543</c:v>
                </c:pt>
                <c:pt idx="19">
                  <c:v>50946</c:v>
                </c:pt>
                <c:pt idx="20">
                  <c:v>78852</c:v>
                </c:pt>
                <c:pt idx="21">
                  <c:v>63185</c:v>
                </c:pt>
                <c:pt idx="22">
                  <c:v>74473</c:v>
                </c:pt>
                <c:pt idx="23">
                  <c:v>104045</c:v>
                </c:pt>
                <c:pt idx="24">
                  <c:v>111117</c:v>
                </c:pt>
                <c:pt idx="25">
                  <c:v>121714</c:v>
                </c:pt>
                <c:pt idx="26">
                  <c:v>117124</c:v>
                </c:pt>
                <c:pt idx="27">
                  <c:v>100411</c:v>
                </c:pt>
                <c:pt idx="28">
                  <c:v>87504</c:v>
                </c:pt>
                <c:pt idx="29">
                  <c:v>82418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1-40A6-8FDC-E905364A900D}"/>
            </c:ext>
          </c:extLst>
        </c:ser>
        <c:ser>
          <c:idx val="1"/>
          <c:order val="1"/>
          <c:tx>
            <c:strRef>
              <c:f>'DECORRENZA (7)'!$B$8</c:f>
              <c:strCache>
                <c:ptCount val="1"/>
                <c:pt idx="0">
                  <c:v>Invalidità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'DECORRENZA (7)'!$C$6:$AF$6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(7)'!$C$8:$AF$8</c:f>
              <c:numCache>
                <c:formatCode>_-* #,##0_-;\-* #,##0_-;_-* "-"??_-;_-@_-</c:formatCode>
                <c:ptCount val="30"/>
                <c:pt idx="0">
                  <c:v>3146</c:v>
                </c:pt>
                <c:pt idx="1">
                  <c:v>2818</c:v>
                </c:pt>
                <c:pt idx="2">
                  <c:v>3576</c:v>
                </c:pt>
                <c:pt idx="3">
                  <c:v>3173</c:v>
                </c:pt>
                <c:pt idx="4">
                  <c:v>2941</c:v>
                </c:pt>
                <c:pt idx="5">
                  <c:v>2982</c:v>
                </c:pt>
                <c:pt idx="6">
                  <c:v>3379</c:v>
                </c:pt>
                <c:pt idx="7">
                  <c:v>3691</c:v>
                </c:pt>
                <c:pt idx="8">
                  <c:v>4162</c:v>
                </c:pt>
                <c:pt idx="9">
                  <c:v>3934</c:v>
                </c:pt>
                <c:pt idx="10">
                  <c:v>3526</c:v>
                </c:pt>
                <c:pt idx="11">
                  <c:v>4266</c:v>
                </c:pt>
                <c:pt idx="12">
                  <c:v>5035</c:v>
                </c:pt>
                <c:pt idx="13">
                  <c:v>5027</c:v>
                </c:pt>
                <c:pt idx="14">
                  <c:v>5265</c:v>
                </c:pt>
                <c:pt idx="15">
                  <c:v>6789</c:v>
                </c:pt>
                <c:pt idx="16">
                  <c:v>6142</c:v>
                </c:pt>
                <c:pt idx="17">
                  <c:v>7079</c:v>
                </c:pt>
                <c:pt idx="18">
                  <c:v>6295</c:v>
                </c:pt>
                <c:pt idx="19">
                  <c:v>5998</c:v>
                </c:pt>
                <c:pt idx="20">
                  <c:v>6341</c:v>
                </c:pt>
                <c:pt idx="21">
                  <c:v>6654</c:v>
                </c:pt>
                <c:pt idx="22">
                  <c:v>6324</c:v>
                </c:pt>
                <c:pt idx="23">
                  <c:v>6859</c:v>
                </c:pt>
                <c:pt idx="24">
                  <c:v>6320</c:v>
                </c:pt>
                <c:pt idx="25">
                  <c:v>4947</c:v>
                </c:pt>
                <c:pt idx="26">
                  <c:v>5590</c:v>
                </c:pt>
                <c:pt idx="27">
                  <c:v>5037</c:v>
                </c:pt>
                <c:pt idx="28">
                  <c:v>4249</c:v>
                </c:pt>
                <c:pt idx="29">
                  <c:v>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1-40A6-8FDC-E905364A900D}"/>
            </c:ext>
          </c:extLst>
        </c:ser>
        <c:ser>
          <c:idx val="2"/>
          <c:order val="2"/>
          <c:tx>
            <c:strRef>
              <c:f>'DECORRENZA (7)'!$B$9</c:f>
              <c:strCache>
                <c:ptCount val="1"/>
                <c:pt idx="0">
                  <c:v>Superstite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'DECORRENZA (7)'!$C$6:$AF$6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(7)'!$C$9:$AF$9</c:f>
              <c:numCache>
                <c:formatCode>_-* #,##0_-;\-* #,##0_-;_-* "-"??_-;_-@_-</c:formatCode>
                <c:ptCount val="30"/>
                <c:pt idx="0">
                  <c:v>6182</c:v>
                </c:pt>
                <c:pt idx="1">
                  <c:v>7139</c:v>
                </c:pt>
                <c:pt idx="2">
                  <c:v>7836</c:v>
                </c:pt>
                <c:pt idx="3">
                  <c:v>8370</c:v>
                </c:pt>
                <c:pt idx="4">
                  <c:v>8816</c:v>
                </c:pt>
                <c:pt idx="5">
                  <c:v>9451</c:v>
                </c:pt>
                <c:pt idx="6">
                  <c:v>9863</c:v>
                </c:pt>
                <c:pt idx="7">
                  <c:v>10354</c:v>
                </c:pt>
                <c:pt idx="8">
                  <c:v>11605</c:v>
                </c:pt>
                <c:pt idx="9">
                  <c:v>11885</c:v>
                </c:pt>
                <c:pt idx="10">
                  <c:v>12846</c:v>
                </c:pt>
                <c:pt idx="11">
                  <c:v>13233</c:v>
                </c:pt>
                <c:pt idx="12">
                  <c:v>14158</c:v>
                </c:pt>
                <c:pt idx="13">
                  <c:v>15166</c:v>
                </c:pt>
                <c:pt idx="14">
                  <c:v>16096</c:v>
                </c:pt>
                <c:pt idx="15">
                  <c:v>17074</c:v>
                </c:pt>
                <c:pt idx="16">
                  <c:v>18513</c:v>
                </c:pt>
                <c:pt idx="17">
                  <c:v>20104</c:v>
                </c:pt>
                <c:pt idx="18">
                  <c:v>20939</c:v>
                </c:pt>
                <c:pt idx="19">
                  <c:v>21943</c:v>
                </c:pt>
                <c:pt idx="20">
                  <c:v>24442</c:v>
                </c:pt>
                <c:pt idx="21">
                  <c:v>24969</c:v>
                </c:pt>
                <c:pt idx="22">
                  <c:v>27037</c:v>
                </c:pt>
                <c:pt idx="23">
                  <c:v>27715</c:v>
                </c:pt>
                <c:pt idx="24">
                  <c:v>29816</c:v>
                </c:pt>
                <c:pt idx="25">
                  <c:v>34706</c:v>
                </c:pt>
                <c:pt idx="26">
                  <c:v>37067</c:v>
                </c:pt>
                <c:pt idx="27">
                  <c:v>37849</c:v>
                </c:pt>
                <c:pt idx="28">
                  <c:v>37017</c:v>
                </c:pt>
                <c:pt idx="29">
                  <c:v>28846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61-40A6-8FDC-E905364A900D}"/>
            </c:ext>
          </c:extLst>
        </c:ser>
        <c:ser>
          <c:idx val="3"/>
          <c:order val="3"/>
          <c:tx>
            <c:strRef>
              <c:f>'DECORRENZA (7)'!$B$10</c:f>
              <c:strCache>
                <c:ptCount val="1"/>
                <c:pt idx="0">
                  <c:v>Totale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'DECORRENZA (7)'!$C$6:$AF$6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(7)'!$C$10:$AF$10</c:f>
              <c:numCache>
                <c:formatCode>_-* #,##0_-;\-* #,##0_-;_-* "-"??_-;_-@_-</c:formatCode>
                <c:ptCount val="30"/>
                <c:pt idx="0">
                  <c:v>25480</c:v>
                </c:pt>
                <c:pt idx="1">
                  <c:v>64313</c:v>
                </c:pt>
                <c:pt idx="2">
                  <c:v>86052</c:v>
                </c:pt>
                <c:pt idx="3">
                  <c:v>43548</c:v>
                </c:pt>
                <c:pt idx="4">
                  <c:v>52311</c:v>
                </c:pt>
                <c:pt idx="5">
                  <c:v>51256</c:v>
                </c:pt>
                <c:pt idx="6">
                  <c:v>43579</c:v>
                </c:pt>
                <c:pt idx="7">
                  <c:v>46414</c:v>
                </c:pt>
                <c:pt idx="8">
                  <c:v>55425</c:v>
                </c:pt>
                <c:pt idx="9">
                  <c:v>56007</c:v>
                </c:pt>
                <c:pt idx="10">
                  <c:v>58008</c:v>
                </c:pt>
                <c:pt idx="11">
                  <c:v>86489</c:v>
                </c:pt>
                <c:pt idx="12">
                  <c:v>108672</c:v>
                </c:pt>
                <c:pt idx="13">
                  <c:v>79798</c:v>
                </c:pt>
                <c:pt idx="14">
                  <c:v>94215</c:v>
                </c:pt>
                <c:pt idx="15">
                  <c:v>101514</c:v>
                </c:pt>
                <c:pt idx="16">
                  <c:v>104813</c:v>
                </c:pt>
                <c:pt idx="17">
                  <c:v>98010</c:v>
                </c:pt>
                <c:pt idx="18">
                  <c:v>65777</c:v>
                </c:pt>
                <c:pt idx="19">
                  <c:v>78887</c:v>
                </c:pt>
                <c:pt idx="20">
                  <c:v>109635</c:v>
                </c:pt>
                <c:pt idx="21">
                  <c:v>94808</c:v>
                </c:pt>
                <c:pt idx="22">
                  <c:v>107834</c:v>
                </c:pt>
                <c:pt idx="23">
                  <c:v>138619</c:v>
                </c:pt>
                <c:pt idx="24">
                  <c:v>147253</c:v>
                </c:pt>
                <c:pt idx="25">
                  <c:v>161367</c:v>
                </c:pt>
                <c:pt idx="26">
                  <c:v>159781</c:v>
                </c:pt>
                <c:pt idx="27">
                  <c:v>143297</c:v>
                </c:pt>
                <c:pt idx="28">
                  <c:v>128770</c:v>
                </c:pt>
                <c:pt idx="29">
                  <c:v>113776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61-40A6-8FDC-E905364A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400511"/>
        <c:axId val="1283400991"/>
      </c:lineChart>
      <c:lineChart>
        <c:grouping val="standard"/>
        <c:varyColors val="0"/>
        <c:ser>
          <c:idx val="4"/>
          <c:order val="4"/>
          <c:tx>
            <c:strRef>
              <c:f>'DECORRENZA (7)'!$B$11</c:f>
              <c:strCache>
                <c:ptCount val="1"/>
                <c:pt idx="0">
                  <c:v>Cumulata V&amp;A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'DECORRENZA (7)'!$C$6:$AF$6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'DECORRENZA (7)'!$C$11:$AF$11</c:f>
              <c:numCache>
                <c:formatCode>_-* #,##0_-;\-* #,##0_-;_-* "-"??_-;_-@_-</c:formatCode>
                <c:ptCount val="30"/>
                <c:pt idx="0">
                  <c:v>16152</c:v>
                </c:pt>
                <c:pt idx="1">
                  <c:v>70508</c:v>
                </c:pt>
                <c:pt idx="2">
                  <c:v>145148</c:v>
                </c:pt>
                <c:pt idx="3">
                  <c:v>177153</c:v>
                </c:pt>
                <c:pt idx="4">
                  <c:v>217707</c:v>
                </c:pt>
                <c:pt idx="5">
                  <c:v>256530</c:v>
                </c:pt>
                <c:pt idx="6">
                  <c:v>286867</c:v>
                </c:pt>
                <c:pt idx="7">
                  <c:v>319236</c:v>
                </c:pt>
                <c:pt idx="8">
                  <c:v>358894</c:v>
                </c:pt>
                <c:pt idx="9">
                  <c:v>399082</c:v>
                </c:pt>
                <c:pt idx="10">
                  <c:v>440718</c:v>
                </c:pt>
                <c:pt idx="11">
                  <c:v>509708</c:v>
                </c:pt>
                <c:pt idx="12">
                  <c:v>599187</c:v>
                </c:pt>
                <c:pt idx="13">
                  <c:v>658792</c:v>
                </c:pt>
                <c:pt idx="14">
                  <c:v>731646</c:v>
                </c:pt>
                <c:pt idx="15">
                  <c:v>809297</c:v>
                </c:pt>
                <c:pt idx="16">
                  <c:v>889455</c:v>
                </c:pt>
                <c:pt idx="17">
                  <c:v>960282</c:v>
                </c:pt>
                <c:pt idx="18">
                  <c:v>998825</c:v>
                </c:pt>
                <c:pt idx="19">
                  <c:v>1049771</c:v>
                </c:pt>
                <c:pt idx="20">
                  <c:v>1128623</c:v>
                </c:pt>
                <c:pt idx="21">
                  <c:v>1191808</c:v>
                </c:pt>
                <c:pt idx="22">
                  <c:v>1266281</c:v>
                </c:pt>
                <c:pt idx="23">
                  <c:v>1370326</c:v>
                </c:pt>
                <c:pt idx="24">
                  <c:v>1481443</c:v>
                </c:pt>
                <c:pt idx="25">
                  <c:v>1603157</c:v>
                </c:pt>
                <c:pt idx="26">
                  <c:v>1720281</c:v>
                </c:pt>
                <c:pt idx="27">
                  <c:v>1820692</c:v>
                </c:pt>
                <c:pt idx="28">
                  <c:v>1908196</c:v>
                </c:pt>
                <c:pt idx="29">
                  <c:v>1990614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61-40A6-8FDC-E905364A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78288"/>
        <c:axId val="198977808"/>
      </c:lineChart>
      <c:catAx>
        <c:axId val="128340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83400991"/>
        <c:crosses val="autoZero"/>
        <c:auto val="1"/>
        <c:lblAlgn val="ctr"/>
        <c:lblOffset val="100"/>
        <c:noMultiLvlLbl val="0"/>
      </c:catAx>
      <c:valAx>
        <c:axId val="128340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83400511"/>
        <c:crosses val="autoZero"/>
        <c:crossBetween val="between"/>
      </c:valAx>
      <c:valAx>
        <c:axId val="198977808"/>
        <c:scaling>
          <c:orientation val="minMax"/>
          <c:max val="28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98978288"/>
        <c:crosses val="max"/>
        <c:crossBetween val="between"/>
      </c:valAx>
      <c:catAx>
        <c:axId val="19897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977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487427867543393"/>
          <c:w val="1"/>
          <c:h val="7.51257213245660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(2)'!$H$11:$H$21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(2)'!$I$11:$I$21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0.27127253505016136</c:v>
                </c:pt>
                <c:pt idx="2">
                  <c:v>0.24453382051805383</c:v>
                </c:pt>
                <c:pt idx="3">
                  <c:v>0.1687448554594369</c:v>
                </c:pt>
                <c:pt idx="4">
                  <c:v>0.10720535660216973</c:v>
                </c:pt>
                <c:pt idx="5">
                  <c:v>5.1494397917736696E-2</c:v>
                </c:pt>
                <c:pt idx="6">
                  <c:v>2.5719408627352471E-2</c:v>
                </c:pt>
                <c:pt idx="7">
                  <c:v>1.3420031691491294E-2</c:v>
                </c:pt>
                <c:pt idx="8">
                  <c:v>8.0791014464149137E-3</c:v>
                </c:pt>
                <c:pt idx="9">
                  <c:v>5.8090554006742009E-3</c:v>
                </c:pt>
                <c:pt idx="10">
                  <c:v>1.6837856977847357E-2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5-434C-BF26-237C213F14DD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(2)'!$H$11:$H$21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(2)'!$J$11:$J$21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0.35815611535882258</c:v>
                </c:pt>
                <c:pt idx="2">
                  <c:v>0.60268993587687647</c:v>
                </c:pt>
                <c:pt idx="3">
                  <c:v>0.77143479133631332</c:v>
                </c:pt>
                <c:pt idx="4">
                  <c:v>0.87864014793848311</c:v>
                </c:pt>
                <c:pt idx="5">
                  <c:v>0.9301345458562198</c:v>
                </c:pt>
                <c:pt idx="6">
                  <c:v>0.95585395448357224</c:v>
                </c:pt>
                <c:pt idx="7">
                  <c:v>0.96927398617506355</c:v>
                </c:pt>
                <c:pt idx="8">
                  <c:v>0.97735308762147843</c:v>
                </c:pt>
                <c:pt idx="9">
                  <c:v>0.98316214302215266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5-434C-BF26-237C213F1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462478463316007"/>
          <c:h val="6.62743914673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(2)'!$H$11:$H$21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(2)'!$K$11:$K$21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0.13004368320422824</c:v>
                </c:pt>
                <c:pt idx="2">
                  <c:v>0.20392760575765045</c:v>
                </c:pt>
                <c:pt idx="3">
                  <c:v>0.19503275727143551</c:v>
                </c:pt>
                <c:pt idx="4">
                  <c:v>0.15919826871694887</c:v>
                </c:pt>
                <c:pt idx="5">
                  <c:v>9.326351028234349E-2</c:v>
                </c:pt>
                <c:pt idx="6">
                  <c:v>5.5137839521878153E-2</c:v>
                </c:pt>
                <c:pt idx="7">
                  <c:v>3.3280064631675821E-2</c:v>
                </c:pt>
                <c:pt idx="8">
                  <c:v>2.278140988119666E-2</c:v>
                </c:pt>
                <c:pt idx="9">
                  <c:v>1.8321071090149795E-2</c:v>
                </c:pt>
                <c:pt idx="10">
                  <c:v>7.4001965496692801E-2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7-4B9D-A6D9-D8E739A3FC94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(2)'!$H$11:$H$21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(2)'!$L$11:$L$21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0.14505550735002842</c:v>
                </c:pt>
                <c:pt idx="2">
                  <c:v>0.34898311310767888</c:v>
                </c:pt>
                <c:pt idx="3">
                  <c:v>0.54401587037911436</c:v>
                </c:pt>
                <c:pt idx="4">
                  <c:v>0.70321413909606323</c:v>
                </c:pt>
                <c:pt idx="5">
                  <c:v>0.7964776493784067</c:v>
                </c:pt>
                <c:pt idx="6">
                  <c:v>0.85161548890028482</c:v>
                </c:pt>
                <c:pt idx="7">
                  <c:v>0.8848955535319607</c:v>
                </c:pt>
                <c:pt idx="8">
                  <c:v>0.9076769634131574</c:v>
                </c:pt>
                <c:pt idx="9">
                  <c:v>0.9259980345033072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7-4B9D-A6D9-D8E739A3F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033710629921258"/>
          <c:h val="6.6274385865521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'Elab. elasticità (2)'!$S$37</c:f>
              <c:strCache>
                <c:ptCount val="1"/>
                <c:pt idx="0">
                  <c:v>Elasticità al punto di inflazione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383858863160176E-2"/>
                  <c:y val="0.248565258710113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99-450B-863B-295BA74840B3}"/>
                </c:ext>
              </c:extLst>
            </c:dLbl>
            <c:dLbl>
              <c:idx val="1"/>
              <c:layout>
                <c:manualLayout>
                  <c:x val="-1.7603909269174416E-2"/>
                  <c:y val="0.1065279680186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9-450B-863B-295BA74840B3}"/>
                </c:ext>
              </c:extLst>
            </c:dLbl>
            <c:dLbl>
              <c:idx val="2"/>
              <c:layout>
                <c:manualLayout>
                  <c:x val="-2.9339848781957351E-2"/>
                  <c:y val="-7.4964125642732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99-450B-863B-295BA74840B3}"/>
                </c:ext>
              </c:extLst>
            </c:dLbl>
            <c:dLbl>
              <c:idx val="3"/>
              <c:layout>
                <c:manualLayout>
                  <c:x val="3.9119798375943111E-3"/>
                  <c:y val="0.21305593603724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9-450B-863B-295BA74840B3}"/>
                </c:ext>
              </c:extLst>
            </c:dLbl>
            <c:dLbl>
              <c:idx val="4"/>
              <c:layout>
                <c:manualLayout>
                  <c:x val="-1.1735939512782933E-2"/>
                  <c:y val="0.12230988920656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99-450B-863B-295BA74840B3}"/>
                </c:ext>
              </c:extLst>
            </c:dLbl>
            <c:dLbl>
              <c:idx val="5"/>
              <c:layout>
                <c:manualLayout>
                  <c:x val="3.9119798375943149E-2"/>
                  <c:y val="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9-450B-863B-295BA74840B3}"/>
                </c:ext>
              </c:extLst>
            </c:dLbl>
            <c:dLbl>
              <c:idx val="6"/>
              <c:layout>
                <c:manualLayout>
                  <c:x val="-3.9119798375943466E-3"/>
                  <c:y val="8.285508623670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99-450B-863B-295BA74840B3}"/>
                </c:ext>
              </c:extLst>
            </c:dLbl>
            <c:dLbl>
              <c:idx val="7"/>
              <c:layout>
                <c:manualLayout>
                  <c:x val="-3.5207818538348833E-2"/>
                  <c:y val="-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9-450B-863B-295BA74840B3}"/>
                </c:ext>
              </c:extLst>
            </c:dLbl>
            <c:dLbl>
              <c:idx val="8"/>
              <c:layout>
                <c:manualLayout>
                  <c:x val="1.760390926917433E-2"/>
                  <c:y val="0.110473448315606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99-450B-863B-295BA74840B3}"/>
                </c:ext>
              </c:extLst>
            </c:dLbl>
            <c:dLbl>
              <c:idx val="9"/>
              <c:layout>
                <c:manualLayout>
                  <c:x val="-3.3251828619551643E-2"/>
                  <c:y val="-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9-450B-863B-295BA74840B3}"/>
                </c:ext>
              </c:extLst>
            </c:dLbl>
            <c:dLbl>
              <c:idx val="10"/>
              <c:layout>
                <c:manualLayout>
                  <c:x val="1.9559899187971554E-2"/>
                  <c:y val="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99-450B-863B-295BA74840B3}"/>
                </c:ext>
              </c:extLst>
            </c:dLbl>
            <c:dLbl>
              <c:idx val="11"/>
              <c:layout>
                <c:manualLayout>
                  <c:x val="-7.8239596751886221E-3"/>
                  <c:y val="-0.1065279680186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99-450B-863B-295BA74840B3}"/>
                </c:ext>
              </c:extLst>
            </c:dLbl>
            <c:dLbl>
              <c:idx val="12"/>
              <c:layout>
                <c:manualLayout>
                  <c:x val="1.1735939512782933E-2"/>
                  <c:y val="7.8909605939718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99-450B-863B-295BA74840B3}"/>
                </c:ext>
              </c:extLst>
            </c:dLbl>
            <c:dLbl>
              <c:idx val="13"/>
              <c:layout>
                <c:manualLayout>
                  <c:x val="3.9119798375943111E-3"/>
                  <c:y val="-9.0746046830676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99-450B-863B-295BA74840B3}"/>
                </c:ext>
              </c:extLst>
            </c:dLbl>
            <c:dLbl>
              <c:idx val="14"/>
              <c:layout>
                <c:manualLayout>
                  <c:x val="-7.1718801854176676E-17"/>
                  <c:y val="6.707316504876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99-450B-863B-295BA74840B3}"/>
                </c:ext>
              </c:extLst>
            </c:dLbl>
            <c:dLbl>
              <c:idx val="15"/>
              <c:layout>
                <c:manualLayout>
                  <c:x val="2.9339848781957334E-2"/>
                  <c:y val="-9.8637007424648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99-450B-863B-295BA74840B3}"/>
                </c:ext>
              </c:extLst>
            </c:dLbl>
            <c:dLbl>
              <c:idx val="16"/>
              <c:layout>
                <c:manualLayout>
                  <c:x val="2.5427868944362952E-2"/>
                  <c:y val="1.9727401484929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99-450B-863B-295BA74840B3}"/>
                </c:ext>
              </c:extLst>
            </c:dLbl>
            <c:dLbl>
              <c:idx val="17"/>
              <c:layout>
                <c:manualLayout>
                  <c:x val="-4.1075788294740269E-2"/>
                  <c:y val="0.14992825128546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99-450B-863B-295BA74840B3}"/>
                </c:ext>
              </c:extLst>
            </c:dLbl>
            <c:dLbl>
              <c:idx val="18"/>
              <c:layout>
                <c:manualLayout>
                  <c:x val="2.3471879025565939E-2"/>
                  <c:y val="0.12625536950354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99-450B-863B-295BA74840B3}"/>
                </c:ext>
              </c:extLst>
            </c:dLbl>
            <c:dLbl>
              <c:idx val="19"/>
              <c:layout>
                <c:manualLayout>
                  <c:x val="6.0635687482711823E-2"/>
                  <c:y val="0.153873731582451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99-450B-863B-295BA74840B3}"/>
                </c:ext>
              </c:extLst>
            </c:dLbl>
            <c:dLbl>
              <c:idx val="20"/>
              <c:layout>
                <c:manualLayout>
                  <c:x val="-7.8239596751886221E-3"/>
                  <c:y val="-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99-450B-863B-295BA74840B3}"/>
                </c:ext>
              </c:extLst>
            </c:dLbl>
            <c:dLbl>
              <c:idx val="21"/>
              <c:layout>
                <c:manualLayout>
                  <c:x val="7.8239596751886221E-3"/>
                  <c:y val="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99-450B-863B-295BA74840B3}"/>
                </c:ext>
              </c:extLst>
            </c:dLbl>
            <c:dLbl>
              <c:idx val="22"/>
              <c:layout>
                <c:manualLayout>
                  <c:x val="5.8679697563914668E-2"/>
                  <c:y val="0.11836440890957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99-450B-863B-295BA74840B3}"/>
                </c:ext>
              </c:extLst>
            </c:dLbl>
            <c:dLbl>
              <c:idx val="23"/>
              <c:layout>
                <c:manualLayout>
                  <c:x val="-5.8679697563914666E-3"/>
                  <c:y val="-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99-450B-863B-295BA74840B3}"/>
                </c:ext>
              </c:extLst>
            </c:dLbl>
            <c:dLbl>
              <c:idx val="24"/>
              <c:layout>
                <c:manualLayout>
                  <c:x val="-1.7603909269174399E-2"/>
                  <c:y val="4.340028326684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99-450B-863B-295BA74840B3}"/>
                </c:ext>
              </c:extLst>
            </c:dLbl>
            <c:dLbl>
              <c:idx val="25"/>
              <c:layout>
                <c:manualLayout>
                  <c:x val="-9.7799495939857768E-3"/>
                  <c:y val="-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99-450B-863B-295BA74840B3}"/>
                </c:ext>
              </c:extLst>
            </c:dLbl>
            <c:dLbl>
              <c:idx val="26"/>
              <c:layout>
                <c:manualLayout>
                  <c:x val="1.3691929431580088E-2"/>
                  <c:y val="0.224892376928198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99-450B-863B-295BA74840B3}"/>
                </c:ext>
              </c:extLst>
            </c:dLbl>
            <c:dLbl>
              <c:idx val="27"/>
              <c:layout>
                <c:manualLayout>
                  <c:x val="-1.4343760370835335E-16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B99-450B-863B-295BA74840B3}"/>
                </c:ext>
              </c:extLst>
            </c:dLbl>
            <c:dLbl>
              <c:idx val="28"/>
              <c:layout>
                <c:manualLayout>
                  <c:x val="-3.9119798375943107E-2"/>
                  <c:y val="0.130200849800535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B99-450B-863B-295BA74840B3}"/>
                </c:ext>
              </c:extLst>
            </c:dLbl>
            <c:dLbl>
              <c:idx val="29"/>
              <c:layout>
                <c:manualLayout>
                  <c:x val="3.3251828619551643E-2"/>
                  <c:y val="0.122309889206563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B99-450B-863B-295BA74840B3}"/>
                </c:ext>
              </c:extLst>
            </c:dLbl>
            <c:dLbl>
              <c:idx val="30"/>
              <c:layout>
                <c:manualLayout>
                  <c:x val="-2.1515889106768712E-2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B99-450B-863B-295BA74840B3}"/>
                </c:ext>
              </c:extLst>
            </c:dLbl>
            <c:dLbl>
              <c:idx val="31"/>
              <c:layout>
                <c:manualLayout>
                  <c:x val="0"/>
                  <c:y val="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B99-450B-863B-295BA7484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'Elab. elasticità (2)'!$T$36:$AY$36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hp. 2026</c:v>
                </c:pt>
              </c:strCache>
            </c:strRef>
          </c:cat>
          <c:val>
            <c:numRef>
              <c:f>'Elab. elasticità (2)'!$T$37:$AY$37</c:f>
              <c:numCache>
                <c:formatCode>0.0</c:formatCode>
                <c:ptCount val="32"/>
                <c:pt idx="0">
                  <c:v>91.937973712443608</c:v>
                </c:pt>
                <c:pt idx="1">
                  <c:v>91.937973712443608</c:v>
                </c:pt>
                <c:pt idx="2">
                  <c:v>91.937973712443608</c:v>
                </c:pt>
                <c:pt idx="3">
                  <c:v>85.254131994906118</c:v>
                </c:pt>
                <c:pt idx="4">
                  <c:v>87.272096705108581</c:v>
                </c:pt>
                <c:pt idx="5">
                  <c:v>87.272096705108581</c:v>
                </c:pt>
                <c:pt idx="6">
                  <c:v>96.132101755077116</c:v>
                </c:pt>
                <c:pt idx="7">
                  <c:v>96.132101755077116</c:v>
                </c:pt>
                <c:pt idx="8">
                  <c:v>96.132101755077116</c:v>
                </c:pt>
                <c:pt idx="9">
                  <c:v>96.132101755077116</c:v>
                </c:pt>
                <c:pt idx="10">
                  <c:v>96.132101755077116</c:v>
                </c:pt>
                <c:pt idx="11">
                  <c:v>96.132101755077116</c:v>
                </c:pt>
                <c:pt idx="12">
                  <c:v>96.132101755077116</c:v>
                </c:pt>
                <c:pt idx="13">
                  <c:v>96.133122818789559</c:v>
                </c:pt>
                <c:pt idx="14">
                  <c:v>97.772052760820813</c:v>
                </c:pt>
                <c:pt idx="15">
                  <c:v>97.772052760820813</c:v>
                </c:pt>
                <c:pt idx="16">
                  <c:v>96.132101755077116</c:v>
                </c:pt>
                <c:pt idx="17">
                  <c:v>46.816222078787717</c:v>
                </c:pt>
                <c:pt idx="18">
                  <c:v>46.816222078787717</c:v>
                </c:pt>
                <c:pt idx="19">
                  <c:v>72.234982500317713</c:v>
                </c:pt>
                <c:pt idx="20">
                  <c:v>79.18797469741429</c:v>
                </c:pt>
                <c:pt idx="21">
                  <c:v>79.18797469741429</c:v>
                </c:pt>
                <c:pt idx="22">
                  <c:v>79.18797469741429</c:v>
                </c:pt>
                <c:pt idx="23">
                  <c:v>79.18797469741429</c:v>
                </c:pt>
                <c:pt idx="24">
                  <c:v>79.798184395328661</c:v>
                </c:pt>
                <c:pt idx="25">
                  <c:v>80.383282667142964</c:v>
                </c:pt>
                <c:pt idx="26">
                  <c:v>80.383282667142964</c:v>
                </c:pt>
                <c:pt idx="27">
                  <c:v>97.179829852906238</c:v>
                </c:pt>
                <c:pt idx="28">
                  <c:v>80.920902110867317</c:v>
                </c:pt>
                <c:pt idx="29">
                  <c:v>80.180882455900388</c:v>
                </c:pt>
                <c:pt idx="30">
                  <c:v>97.179829852906238</c:v>
                </c:pt>
                <c:pt idx="31">
                  <c:v>97.179829852906238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B99-450B-863B-295BA7484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47791"/>
        <c:axId val="919951631"/>
      </c:lineChart>
      <c:catAx>
        <c:axId val="91994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51631"/>
        <c:crosses val="autoZero"/>
        <c:auto val="1"/>
        <c:lblAlgn val="ctr"/>
        <c:lblOffset val="100"/>
        <c:noMultiLvlLbl val="0"/>
      </c:catAx>
      <c:valAx>
        <c:axId val="919951631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4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'Elab. elasticità (2)'!$S$50</c:f>
              <c:strCache>
                <c:ptCount val="1"/>
                <c:pt idx="0">
                  <c:v>Spesa per rivalutazione</c:v>
                </c:pt>
              </c:strCache>
            </c:strRef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-0.24286836711027179"/>
                  <c:y val="6.9952303300457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5E-47C1-B23B-472DD03CB49E}"/>
                </c:ext>
              </c:extLst>
            </c:dLbl>
            <c:dLbl>
              <c:idx val="29"/>
              <c:layout>
                <c:manualLayout>
                  <c:x val="8.3031920379580092E-3"/>
                  <c:y val="-3.4976151650228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5E-47C1-B23B-472DD03CB4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'Elab. elasticità (2)'!$T$36:$AY$36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hp. 2026</c:v>
                </c:pt>
              </c:strCache>
            </c:strRef>
          </c:cat>
          <c:val>
            <c:numRef>
              <c:f>'Elab. elasticità (2)'!$T$50:$AY$50</c:f>
              <c:numCache>
                <c:formatCode>General</c:formatCode>
                <c:ptCount val="32"/>
                <c:pt idx="0">
                  <c:v>0</c:v>
                </c:pt>
                <c:pt idx="1">
                  <c:v>5995.6009395804431</c:v>
                </c:pt>
                <c:pt idx="2">
                  <c:v>4757.6584836361435</c:v>
                </c:pt>
                <c:pt idx="3">
                  <c:v>2084.7193790497399</c:v>
                </c:pt>
                <c:pt idx="4">
                  <c:v>2290.4532810065066</c:v>
                </c:pt>
                <c:pt idx="5">
                  <c:v>2158.0086922937558</c:v>
                </c:pt>
                <c:pt idx="6">
                  <c:v>3958.4849863058726</c:v>
                </c:pt>
                <c:pt idx="7">
                  <c:v>4303.7156056922622</c:v>
                </c:pt>
                <c:pt idx="8">
                  <c:v>4009.7704053313505</c:v>
                </c:pt>
                <c:pt idx="9">
                  <c:v>4345.0249518355449</c:v>
                </c:pt>
                <c:pt idx="10">
                  <c:v>3614.3410165357104</c:v>
                </c:pt>
                <c:pt idx="11">
                  <c:v>3180.2272716407556</c:v>
                </c:pt>
                <c:pt idx="12">
                  <c:v>3871.8232910178717</c:v>
                </c:pt>
                <c:pt idx="13">
                  <c:v>3412.608458500185</c:v>
                </c:pt>
                <c:pt idx="14">
                  <c:v>6788.6130133330771</c:v>
                </c:pt>
                <c:pt idx="15">
                  <c:v>1543.8090068943693</c:v>
                </c:pt>
                <c:pt idx="16">
                  <c:v>3552.8222089608221</c:v>
                </c:pt>
                <c:pt idx="17">
                  <c:v>2997.1276265234337</c:v>
                </c:pt>
                <c:pt idx="18">
                  <c:v>3403.0168461270855</c:v>
                </c:pt>
                <c:pt idx="19">
                  <c:v>1964.8551993714502</c:v>
                </c:pt>
                <c:pt idx="20">
                  <c:v>394.21335706006062</c:v>
                </c:pt>
                <c:pt idx="21">
                  <c:v>0</c:v>
                </c:pt>
                <c:pt idx="22">
                  <c:v>0</c:v>
                </c:pt>
                <c:pt idx="23">
                  <c:v>1822.9598158896388</c:v>
                </c:pt>
                <c:pt idx="24">
                  <c:v>2279.7248593535987</c:v>
                </c:pt>
                <c:pt idx="25">
                  <c:v>1068.3517025093713</c:v>
                </c:pt>
                <c:pt idx="26">
                  <c:v>0</c:v>
                </c:pt>
                <c:pt idx="27">
                  <c:v>4450.6703032878404</c:v>
                </c:pt>
                <c:pt idx="28">
                  <c:v>18794.749832528829</c:v>
                </c:pt>
                <c:pt idx="29">
                  <c:v>13314.638636504236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E-47C1-B23B-472DD03CB49E}"/>
            </c:ext>
          </c:extLst>
        </c:ser>
        <c:ser>
          <c:idx val="1"/>
          <c:order val="1"/>
          <c:tx>
            <c:strRef>
              <c:f>'Elab. elasticità (2)'!$S$51</c:f>
              <c:strCache>
                <c:ptCount val="1"/>
                <c:pt idx="0">
                  <c:v>Spesa per rivalutazione, elasticità costante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-0.15776064872120218"/>
                  <c:y val="3.8862390722476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5E-47C1-B23B-472DD03CB49E}"/>
                </c:ext>
              </c:extLst>
            </c:dLbl>
            <c:dLbl>
              <c:idx val="29"/>
              <c:layout>
                <c:manualLayout>
                  <c:x val="-4.1515960189790046E-3"/>
                  <c:y val="-0.260378017840591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5E-47C1-B23B-472DD03CB4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'Elab. elasticità (2)'!$T$36:$AY$36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hp. 2026</c:v>
                </c:pt>
              </c:strCache>
            </c:strRef>
          </c:cat>
          <c:val>
            <c:numRef>
              <c:f>'Elab. elasticità (2)'!$T$51:$AY$51</c:f>
              <c:numCache>
                <c:formatCode>General</c:formatCode>
                <c:ptCount val="32"/>
                <c:pt idx="0">
                  <c:v>0</c:v>
                </c:pt>
                <c:pt idx="1">
                  <c:v>5995.6009395804431</c:v>
                </c:pt>
                <c:pt idx="2">
                  <c:v>4757.6584836361435</c:v>
                </c:pt>
                <c:pt idx="3">
                  <c:v>2084.7193790497399</c:v>
                </c:pt>
                <c:pt idx="4">
                  <c:v>2290.4532810065066</c:v>
                </c:pt>
                <c:pt idx="5">
                  <c:v>2158.0086922937558</c:v>
                </c:pt>
                <c:pt idx="6">
                  <c:v>3958.4849863058726</c:v>
                </c:pt>
                <c:pt idx="7">
                  <c:v>4303.7156056922622</c:v>
                </c:pt>
                <c:pt idx="8">
                  <c:v>4009.7704053313505</c:v>
                </c:pt>
                <c:pt idx="9">
                  <c:v>4345.0249518355449</c:v>
                </c:pt>
                <c:pt idx="10">
                  <c:v>3614.3410165357104</c:v>
                </c:pt>
                <c:pt idx="11">
                  <c:v>3180.2272716407556</c:v>
                </c:pt>
                <c:pt idx="12">
                  <c:v>3871.8232910178717</c:v>
                </c:pt>
                <c:pt idx="13">
                  <c:v>3412.608458500185</c:v>
                </c:pt>
                <c:pt idx="14">
                  <c:v>6788.6130133330771</c:v>
                </c:pt>
                <c:pt idx="15">
                  <c:v>1543.8090068943693</c:v>
                </c:pt>
                <c:pt idx="16">
                  <c:v>3552.8222089608221</c:v>
                </c:pt>
                <c:pt idx="17">
                  <c:v>6152.2257055296377</c:v>
                </c:pt>
                <c:pt idx="18">
                  <c:v>7074.3123068673485</c:v>
                </c:pt>
                <c:pt idx="19">
                  <c:v>2683.8093304554641</c:v>
                </c:pt>
                <c:pt idx="20">
                  <c:v>492.16167779034436</c:v>
                </c:pt>
                <c:pt idx="21">
                  <c:v>0</c:v>
                </c:pt>
                <c:pt idx="22">
                  <c:v>0</c:v>
                </c:pt>
                <c:pt idx="23">
                  <c:v>2269.4841708773242</c:v>
                </c:pt>
                <c:pt idx="24">
                  <c:v>2820.118635440138</c:v>
                </c:pt>
                <c:pt idx="25">
                  <c:v>1312.9550329144215</c:v>
                </c:pt>
                <c:pt idx="26">
                  <c:v>0</c:v>
                </c:pt>
                <c:pt idx="27">
                  <c:v>5986.9592100631216</c:v>
                </c:pt>
                <c:pt idx="28">
                  <c:v>22872.993945419839</c:v>
                </c:pt>
                <c:pt idx="29">
                  <c:v>16525.201645196918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5E-47C1-B23B-472DD03CB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47791"/>
        <c:axId val="919951631"/>
      </c:lineChart>
      <c:catAx>
        <c:axId val="91994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51631"/>
        <c:crosses val="autoZero"/>
        <c:auto val="1"/>
        <c:lblAlgn val="ctr"/>
        <c:lblOffset val="100"/>
        <c:noMultiLvlLbl val="0"/>
      </c:catAx>
      <c:valAx>
        <c:axId val="919951631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4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'Elab. elasticità'!$S$37</c:f>
              <c:strCache>
                <c:ptCount val="1"/>
                <c:pt idx="0">
                  <c:v>Elasticità al punto di inflazione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383858863160176E-2"/>
                  <c:y val="0.248565258710113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77-4F63-BE7C-C657EB17078A}"/>
                </c:ext>
              </c:extLst>
            </c:dLbl>
            <c:dLbl>
              <c:idx val="1"/>
              <c:layout>
                <c:manualLayout>
                  <c:x val="-1.7603909269174416E-2"/>
                  <c:y val="0.1065279680186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77-4F63-BE7C-C657EB17078A}"/>
                </c:ext>
              </c:extLst>
            </c:dLbl>
            <c:dLbl>
              <c:idx val="2"/>
              <c:layout>
                <c:manualLayout>
                  <c:x val="-2.9339848781957351E-2"/>
                  <c:y val="-7.4964125642732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77-4F63-BE7C-C657EB17078A}"/>
                </c:ext>
              </c:extLst>
            </c:dLbl>
            <c:dLbl>
              <c:idx val="3"/>
              <c:layout>
                <c:manualLayout>
                  <c:x val="3.9119798375943111E-3"/>
                  <c:y val="0.21305593603724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77-4F63-BE7C-C657EB17078A}"/>
                </c:ext>
              </c:extLst>
            </c:dLbl>
            <c:dLbl>
              <c:idx val="4"/>
              <c:layout>
                <c:manualLayout>
                  <c:x val="-1.1735939512782933E-2"/>
                  <c:y val="0.12230988920656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77-4F63-BE7C-C657EB17078A}"/>
                </c:ext>
              </c:extLst>
            </c:dLbl>
            <c:dLbl>
              <c:idx val="5"/>
              <c:layout>
                <c:manualLayout>
                  <c:x val="3.9119798375943149E-2"/>
                  <c:y val="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77-4F63-BE7C-C657EB17078A}"/>
                </c:ext>
              </c:extLst>
            </c:dLbl>
            <c:dLbl>
              <c:idx val="6"/>
              <c:layout>
                <c:manualLayout>
                  <c:x val="-3.9119798375943466E-3"/>
                  <c:y val="8.285508623670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77-4F63-BE7C-C657EB17078A}"/>
                </c:ext>
              </c:extLst>
            </c:dLbl>
            <c:dLbl>
              <c:idx val="7"/>
              <c:layout>
                <c:manualLayout>
                  <c:x val="-0.10794650098283137"/>
                  <c:y val="-0.165367783883834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77-4F63-BE7C-C657EB17078A}"/>
                </c:ext>
              </c:extLst>
            </c:dLbl>
            <c:dLbl>
              <c:idx val="8"/>
              <c:layout>
                <c:manualLayout>
                  <c:x val="1.760390926917433E-2"/>
                  <c:y val="0.110473448315606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77-4F63-BE7C-C657EB17078A}"/>
                </c:ext>
              </c:extLst>
            </c:dLbl>
            <c:dLbl>
              <c:idx val="9"/>
              <c:layout>
                <c:manualLayout>
                  <c:x val="-3.7408303436015235E-2"/>
                  <c:y val="-0.16118209209444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77-4F63-BE7C-C657EB17078A}"/>
                </c:ext>
              </c:extLst>
            </c:dLbl>
            <c:dLbl>
              <c:idx val="10"/>
              <c:layout>
                <c:manualLayout>
                  <c:x val="1.9559899187971554E-2"/>
                  <c:y val="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77-4F63-BE7C-C657EB17078A}"/>
                </c:ext>
              </c:extLst>
            </c:dLbl>
            <c:dLbl>
              <c:idx val="11"/>
              <c:layout>
                <c:manualLayout>
                  <c:x val="-3.8997754182842639E-2"/>
                  <c:y val="-0.16931321037286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F77-4F63-BE7C-C657EB17078A}"/>
                </c:ext>
              </c:extLst>
            </c:dLbl>
            <c:dLbl>
              <c:idx val="12"/>
              <c:layout>
                <c:manualLayout>
                  <c:x val="1.1735883785671412E-2"/>
                  <c:y val="-0.172231988836397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77-4F63-BE7C-C657EB17078A}"/>
                </c:ext>
              </c:extLst>
            </c:dLbl>
            <c:dLbl>
              <c:idx val="13"/>
              <c:layout>
                <c:manualLayout>
                  <c:x val="3.9120158090865595E-3"/>
                  <c:y val="0.135281229050942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77-4F63-BE7C-C657EB17078A}"/>
                </c:ext>
              </c:extLst>
            </c:dLbl>
            <c:dLbl>
              <c:idx val="14"/>
              <c:layout>
                <c:manualLayout>
                  <c:x val="-7.1718801854176676E-17"/>
                  <c:y val="6.707316504876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77-4F63-BE7C-C657EB17078A}"/>
                </c:ext>
              </c:extLst>
            </c:dLbl>
            <c:dLbl>
              <c:idx val="15"/>
              <c:layout>
                <c:manualLayout>
                  <c:x val="2.9339848781957334E-2"/>
                  <c:y val="-9.8637007424648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77-4F63-BE7C-C657EB17078A}"/>
                </c:ext>
              </c:extLst>
            </c:dLbl>
            <c:dLbl>
              <c:idx val="16"/>
              <c:layout>
                <c:manualLayout>
                  <c:x val="2.5427868944362952E-2"/>
                  <c:y val="1.9727401484929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F77-4F63-BE7C-C657EB17078A}"/>
                </c:ext>
              </c:extLst>
            </c:dLbl>
            <c:dLbl>
              <c:idx val="17"/>
              <c:layout>
                <c:manualLayout>
                  <c:x val="-4.1075788294740269E-2"/>
                  <c:y val="0.14992825128546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77-4F63-BE7C-C657EB17078A}"/>
                </c:ext>
              </c:extLst>
            </c:dLbl>
            <c:dLbl>
              <c:idx val="18"/>
              <c:layout>
                <c:manualLayout>
                  <c:x val="2.3471879025565939E-2"/>
                  <c:y val="0.12625536950354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77-4F63-BE7C-C657EB17078A}"/>
                </c:ext>
              </c:extLst>
            </c:dLbl>
            <c:dLbl>
              <c:idx val="19"/>
              <c:layout>
                <c:manualLayout>
                  <c:x val="6.0635687482711823E-2"/>
                  <c:y val="0.153873731582451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77-4F63-BE7C-C657EB17078A}"/>
                </c:ext>
              </c:extLst>
            </c:dLbl>
            <c:dLbl>
              <c:idx val="20"/>
              <c:layout>
                <c:manualLayout>
                  <c:x val="-7.8239596751886221E-3"/>
                  <c:y val="-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77-4F63-BE7C-C657EB17078A}"/>
                </c:ext>
              </c:extLst>
            </c:dLbl>
            <c:dLbl>
              <c:idx val="21"/>
              <c:layout>
                <c:manualLayout>
                  <c:x val="7.8239596751886221E-3"/>
                  <c:y val="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77-4F63-BE7C-C657EB17078A}"/>
                </c:ext>
              </c:extLst>
            </c:dLbl>
            <c:dLbl>
              <c:idx val="22"/>
              <c:layout>
                <c:manualLayout>
                  <c:x val="5.8679697563914668E-2"/>
                  <c:y val="0.11836440890957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77-4F63-BE7C-C657EB17078A}"/>
                </c:ext>
              </c:extLst>
            </c:dLbl>
            <c:dLbl>
              <c:idx val="23"/>
              <c:layout>
                <c:manualLayout>
                  <c:x val="-5.8679697563914666E-3"/>
                  <c:y val="-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77-4F63-BE7C-C657EB17078A}"/>
                </c:ext>
              </c:extLst>
            </c:dLbl>
            <c:dLbl>
              <c:idx val="24"/>
              <c:layout>
                <c:manualLayout>
                  <c:x val="-1.7603909269174399E-2"/>
                  <c:y val="4.340028326684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77-4F63-BE7C-C657EB17078A}"/>
                </c:ext>
              </c:extLst>
            </c:dLbl>
            <c:dLbl>
              <c:idx val="25"/>
              <c:layout>
                <c:manualLayout>
                  <c:x val="-9.7799495939857768E-3"/>
                  <c:y val="-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77-4F63-BE7C-C657EB17078A}"/>
                </c:ext>
              </c:extLst>
            </c:dLbl>
            <c:dLbl>
              <c:idx val="26"/>
              <c:layout>
                <c:manualLayout>
                  <c:x val="1.3691929431580088E-2"/>
                  <c:y val="0.224892376928198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77-4F63-BE7C-C657EB17078A}"/>
                </c:ext>
              </c:extLst>
            </c:dLbl>
            <c:dLbl>
              <c:idx val="27"/>
              <c:layout>
                <c:manualLayout>
                  <c:x val="-1.4343760370835335E-16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77-4F63-BE7C-C657EB17078A}"/>
                </c:ext>
              </c:extLst>
            </c:dLbl>
            <c:dLbl>
              <c:idx val="28"/>
              <c:layout>
                <c:manualLayout>
                  <c:x val="-3.9119798375943107E-2"/>
                  <c:y val="0.130200849800535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77-4F63-BE7C-C657EB17078A}"/>
                </c:ext>
              </c:extLst>
            </c:dLbl>
            <c:dLbl>
              <c:idx val="29"/>
              <c:layout>
                <c:manualLayout>
                  <c:x val="3.3251828619551643E-2"/>
                  <c:y val="0.122309889206563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77-4F63-BE7C-C657EB17078A}"/>
                </c:ext>
              </c:extLst>
            </c:dLbl>
            <c:dLbl>
              <c:idx val="30"/>
              <c:layout>
                <c:manualLayout>
                  <c:x val="-2.1515889106768712E-2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77-4F63-BE7C-C657EB17078A}"/>
                </c:ext>
              </c:extLst>
            </c:dLbl>
            <c:dLbl>
              <c:idx val="31"/>
              <c:layout>
                <c:manualLayout>
                  <c:x val="0"/>
                  <c:y val="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77-4F63-BE7C-C657EB1707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'Elab. elasticità'!$T$36:$AY$36</c:f>
              <c:numCache>
                <c:formatCode>General</c:formatCod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</c:numCache>
            </c:numRef>
          </c:cat>
          <c:val>
            <c:numRef>
              <c:f>'Elab. elasticità'!$T$37:$AY$37</c:f>
              <c:numCache>
                <c:formatCode>0.0</c:formatCode>
                <c:ptCount val="32"/>
                <c:pt idx="0">
                  <c:v>91.937973712443608</c:v>
                </c:pt>
                <c:pt idx="1">
                  <c:v>91.937973712443608</c:v>
                </c:pt>
                <c:pt idx="2">
                  <c:v>91.937973712443608</c:v>
                </c:pt>
                <c:pt idx="3">
                  <c:v>66.979350517270348</c:v>
                </c:pt>
                <c:pt idx="4">
                  <c:v>87.272096705108581</c:v>
                </c:pt>
                <c:pt idx="5">
                  <c:v>87.272096705108581</c:v>
                </c:pt>
                <c:pt idx="6">
                  <c:v>96.132101755077116</c:v>
                </c:pt>
                <c:pt idx="7">
                  <c:v>96.132101755077116</c:v>
                </c:pt>
                <c:pt idx="8">
                  <c:v>96.132101755077116</c:v>
                </c:pt>
                <c:pt idx="9">
                  <c:v>96.132101755077116</c:v>
                </c:pt>
                <c:pt idx="10">
                  <c:v>96.132101755077116</c:v>
                </c:pt>
                <c:pt idx="11">
                  <c:v>96.132101755077116</c:v>
                </c:pt>
                <c:pt idx="12">
                  <c:v>96.132101755077116</c:v>
                </c:pt>
                <c:pt idx="13">
                  <c:v>87.68215603757794</c:v>
                </c:pt>
                <c:pt idx="14">
                  <c:v>97.772052760820813</c:v>
                </c:pt>
                <c:pt idx="15">
                  <c:v>97.772052760820813</c:v>
                </c:pt>
                <c:pt idx="16">
                  <c:v>96.132101755077116</c:v>
                </c:pt>
                <c:pt idx="17">
                  <c:v>46.816222078787717</c:v>
                </c:pt>
                <c:pt idx="18">
                  <c:v>46.816222078787717</c:v>
                </c:pt>
                <c:pt idx="19">
                  <c:v>72.234982500317713</c:v>
                </c:pt>
                <c:pt idx="20">
                  <c:v>79.18797469741429</c:v>
                </c:pt>
                <c:pt idx="21">
                  <c:v>79.18797469741429</c:v>
                </c:pt>
                <c:pt idx="22">
                  <c:v>79.18797469741429</c:v>
                </c:pt>
                <c:pt idx="23">
                  <c:v>79.18797469741429</c:v>
                </c:pt>
                <c:pt idx="24">
                  <c:v>79.798184395328661</c:v>
                </c:pt>
                <c:pt idx="25">
                  <c:v>80.383282667142964</c:v>
                </c:pt>
                <c:pt idx="26">
                  <c:v>80.383282667142964</c:v>
                </c:pt>
                <c:pt idx="27">
                  <c:v>97.179829852906238</c:v>
                </c:pt>
                <c:pt idx="28">
                  <c:v>80.920902110867317</c:v>
                </c:pt>
                <c:pt idx="29">
                  <c:v>80.180882455900388</c:v>
                </c:pt>
                <c:pt idx="30">
                  <c:v>97.179829852906238</c:v>
                </c:pt>
                <c:pt idx="31">
                  <c:v>97.179829852906238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7-4F63-BE7C-C657EB170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47791"/>
        <c:axId val="919951631"/>
      </c:lineChart>
      <c:catAx>
        <c:axId val="91994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51631"/>
        <c:crosses val="autoZero"/>
        <c:auto val="1"/>
        <c:lblAlgn val="ctr"/>
        <c:lblOffset val="100"/>
        <c:noMultiLvlLbl val="0"/>
      </c:catAx>
      <c:valAx>
        <c:axId val="919951631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4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4096528600534"/>
          <c:y val="2.2602968990949414E-2"/>
          <c:w val="0.82120089289217035"/>
          <c:h val="0.76887358441838705"/>
        </c:manualLayout>
      </c:layout>
      <c:lineChart>
        <c:grouping val="standard"/>
        <c:varyColors val="0"/>
        <c:ser>
          <c:idx val="0"/>
          <c:order val="0"/>
          <c:tx>
            <c:strRef>
              <c:f>'Elab. elasticità'!$S$49</c:f>
              <c:strCache>
                <c:ptCount val="1"/>
                <c:pt idx="0">
                  <c:v>Spesa pensioni IVS (stima)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146886204484136E-2"/>
                  <c:y val="-0.25925934326798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B6-462E-AF45-F773A31431DC}"/>
                </c:ext>
              </c:extLst>
            </c:dLbl>
            <c:dLbl>
              <c:idx val="29"/>
              <c:layout>
                <c:manualLayout>
                  <c:x val="-0.180225969993004"/>
                  <c:y val="-8.2304553418409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B6-462E-AF45-F773A31431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'Elab. elasticità'!$T$48:$AX$48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elasticità'!$T$49:$AX$49</c:f>
              <c:numCache>
                <c:formatCode>_-* #,##0_-;\-* #,##0_-;_-* "-"??_-;_-@_-</c:formatCode>
                <c:ptCount val="31"/>
                <c:pt idx="0">
                  <c:v>123060.97499999999</c:v>
                </c:pt>
                <c:pt idx="1">
                  <c:v>135171.54999999999</c:v>
                </c:pt>
                <c:pt idx="2">
                  <c:v>146417.29499999998</c:v>
                </c:pt>
                <c:pt idx="3">
                  <c:v>148333.12</c:v>
                </c:pt>
                <c:pt idx="4">
                  <c:v>156796.24</c:v>
                </c:pt>
                <c:pt idx="5">
                  <c:v>160908.61499999999</c:v>
                </c:pt>
                <c:pt idx="6">
                  <c:v>168511.83</c:v>
                </c:pt>
                <c:pt idx="7">
                  <c:v>176599.66500000001</c:v>
                </c:pt>
                <c:pt idx="8">
                  <c:v>183860.1</c:v>
                </c:pt>
                <c:pt idx="9">
                  <c:v>191187.51499999998</c:v>
                </c:pt>
                <c:pt idx="10">
                  <c:v>198020.46</c:v>
                </c:pt>
                <c:pt idx="11">
                  <c:v>204616.02</c:v>
                </c:pt>
                <c:pt idx="12">
                  <c:v>212443.815</c:v>
                </c:pt>
                <c:pt idx="13">
                  <c:v>220806.465</c:v>
                </c:pt>
                <c:pt idx="14">
                  <c:v>229552.28</c:v>
                </c:pt>
                <c:pt idx="15">
                  <c:v>235033.80499999999</c:v>
                </c:pt>
                <c:pt idx="16">
                  <c:v>241315.15</c:v>
                </c:pt>
                <c:pt idx="17">
                  <c:v>246687.34</c:v>
                </c:pt>
                <c:pt idx="18">
                  <c:v>251798.505</c:v>
                </c:pt>
                <c:pt idx="19">
                  <c:v>253482.85500000001</c:v>
                </c:pt>
                <c:pt idx="20">
                  <c:v>255462.70499999999</c:v>
                </c:pt>
                <c:pt idx="21">
                  <c:v>257255.405</c:v>
                </c:pt>
                <c:pt idx="22">
                  <c:v>259857.77499999999</c:v>
                </c:pt>
                <c:pt idx="23">
                  <c:v>264662.60499999998</c:v>
                </c:pt>
                <c:pt idx="24">
                  <c:v>270924.25</c:v>
                </c:pt>
                <c:pt idx="25">
                  <c:v>277155.36</c:v>
                </c:pt>
                <c:pt idx="26">
                  <c:v>281918.82</c:v>
                </c:pt>
                <c:pt idx="27">
                  <c:v>292346.02999999997</c:v>
                </c:pt>
                <c:pt idx="28">
                  <c:v>313659.46000000002</c:v>
                </c:pt>
                <c:pt idx="29">
                  <c:v>330883.17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6-462E-AF45-F773A31431DC}"/>
            </c:ext>
          </c:extLst>
        </c:ser>
        <c:ser>
          <c:idx val="1"/>
          <c:order val="1"/>
          <c:tx>
            <c:strRef>
              <c:f>'Elab. elasticità'!$S$50</c:f>
              <c:strCache>
                <c:ptCount val="1"/>
                <c:pt idx="0">
                  <c:v>Dato INPS</c:v>
                </c:pt>
              </c:strCache>
            </c:strRef>
          </c:tx>
          <c:spPr>
            <a:ln w="63500" cap="rnd">
              <a:solidFill>
                <a:schemeClr val="accent4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'Elab. elasticità'!$T$48:$AX$48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elasticità'!$T$50:$AX$50</c:f>
              <c:numCache>
                <c:formatCode>General</c:formatCode>
                <c:ptCount val="31"/>
                <c:pt idx="24" formatCode="_-* #,##0_-;\-* #,##0_-;_-* &quot;-&quot;??_-;_-@_-">
                  <c:v>272660</c:v>
                </c:pt>
                <c:pt idx="25">
                  <c:v>278468</c:v>
                </c:pt>
                <c:pt idx="26">
                  <c:v>283411</c:v>
                </c:pt>
                <c:pt idx="27">
                  <c:v>292103</c:v>
                </c:pt>
                <c:pt idx="28" formatCode="_-* #,##0_-;\-* #,##0_-;_-* &quot;-&quot;??_-;_-@_-">
                  <c:v>314894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6-462E-AF45-F773A3143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431567"/>
        <c:axId val="1243426767"/>
      </c:lineChart>
      <c:lineChart>
        <c:grouping val="standard"/>
        <c:varyColors val="0"/>
        <c:ser>
          <c:idx val="2"/>
          <c:order val="2"/>
          <c:tx>
            <c:strRef>
              <c:f>'Elab. elasticità'!$S$51</c:f>
              <c:strCache>
                <c:ptCount val="1"/>
                <c:pt idx="0">
                  <c:v>Spesa rivalutazione pensioni IVS (stima, dx)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6.2146886204484135E-3"/>
                  <c:y val="-0.1028806917730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48-4605-B2A0-04E0F4DB5F77}"/>
                </c:ext>
              </c:extLst>
            </c:dLbl>
            <c:dLbl>
              <c:idx val="3"/>
              <c:layout>
                <c:manualLayout>
                  <c:x val="-3.7978213952949688E-17"/>
                  <c:y val="3.2921821367363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48-4605-B2A0-04E0F4DB5F77}"/>
                </c:ext>
              </c:extLst>
            </c:dLbl>
            <c:dLbl>
              <c:idx val="14"/>
              <c:layout>
                <c:manualLayout>
                  <c:x val="6.2146886204484135E-3"/>
                  <c:y val="-7.8189325747489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48-4605-B2A0-04E0F4DB5F77}"/>
                </c:ext>
              </c:extLst>
            </c:dLbl>
            <c:dLbl>
              <c:idx val="27"/>
              <c:layout>
                <c:manualLayout>
                  <c:x val="-0.12843689815593387"/>
                  <c:y val="-6.584364273472763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B6-462E-AF45-F773A31431DC}"/>
                </c:ext>
              </c:extLst>
            </c:dLbl>
            <c:dLbl>
              <c:idx val="28"/>
              <c:layout>
                <c:manualLayout>
                  <c:x val="1.6572502987862437E-2"/>
                  <c:y val="7.407409807656850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B6-462E-AF45-F773A31431DC}"/>
                </c:ext>
              </c:extLst>
            </c:dLbl>
            <c:dLbl>
              <c:idx val="29"/>
              <c:layout>
                <c:manualLayout>
                  <c:x val="-8.2862514939312185E-3"/>
                  <c:y val="4.9382732051045639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B6-462E-AF45-F773A31431DC}"/>
                </c:ext>
              </c:extLst>
            </c:dLbl>
            <c:dLbl>
              <c:idx val="30"/>
              <c:layout>
                <c:manualLayout>
                  <c:x val="-4.3502820343139043E-2"/>
                  <c:y val="5.761318739288647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8D-4EA4-BA08-119FC469B5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'Elab. elasticità'!$T$48:$AX$48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elasticità'!$T$51:$AX$51</c:f>
              <c:numCache>
                <c:formatCode>_-* #,##0_-;\-* #,##0_-;_-* "-"??_-;_-@_-</c:formatCode>
                <c:ptCount val="31"/>
                <c:pt idx="1">
                  <c:v>6033.1780670510479</c:v>
                </c:pt>
                <c:pt idx="2">
                  <c:v>4786.1018128708702</c:v>
                </c:pt>
                <c:pt idx="3">
                  <c:v>1646.3392674486072</c:v>
                </c:pt>
                <c:pt idx="4">
                  <c:v>2301.0346103931624</c:v>
                </c:pt>
                <c:pt idx="5">
                  <c:v>2162.0619860038314</c:v>
                </c:pt>
                <c:pt idx="6">
                  <c:v>3971.5331002276589</c:v>
                </c:pt>
                <c:pt idx="7">
                  <c:v>4319.1640620822818</c:v>
                </c:pt>
                <c:pt idx="8">
                  <c:v>4023.5245808691307</c:v>
                </c:pt>
                <c:pt idx="9">
                  <c:v>4363.4805297187304</c:v>
                </c:pt>
                <c:pt idx="10">
                  <c:v>3629.9033851403656</c:v>
                </c:pt>
                <c:pt idx="11">
                  <c:v>3195.6891503553179</c:v>
                </c:pt>
                <c:pt idx="12">
                  <c:v>3884.8581909333807</c:v>
                </c:pt>
                <c:pt idx="13">
                  <c:v>3127.0968901891156</c:v>
                </c:pt>
                <c:pt idx="14">
                  <c:v>6822.0296253076658</c:v>
                </c:pt>
                <c:pt idx="15">
                  <c:v>1551.4275112792839</c:v>
                </c:pt>
                <c:pt idx="16">
                  <c:v>3569.8983979865866</c:v>
                </c:pt>
                <c:pt idx="17">
                  <c:v>3012.1862465813683</c:v>
                </c:pt>
                <c:pt idx="18">
                  <c:v>3421.3821531891281</c:v>
                </c:pt>
                <c:pt idx="19">
                  <c:v>1975.7432579227914</c:v>
                </c:pt>
                <c:pt idx="20">
                  <c:v>396.43767968237461</c:v>
                </c:pt>
                <c:pt idx="21">
                  <c:v>0</c:v>
                </c:pt>
                <c:pt idx="22">
                  <c:v>0</c:v>
                </c:pt>
                <c:pt idx="23">
                  <c:v>2235.2429852754149</c:v>
                </c:pt>
                <c:pt idx="24">
                  <c:v>2294.1160455822192</c:v>
                </c:pt>
                <c:pt idx="25">
                  <c:v>1075.2779156009769</c:v>
                </c:pt>
                <c:pt idx="26">
                  <c:v>0</c:v>
                </c:pt>
                <c:pt idx="27">
                  <c:v>5140.3289078572607</c:v>
                </c:pt>
                <c:pt idx="28">
                  <c:v>18922.566467845027</c:v>
                </c:pt>
                <c:pt idx="29">
                  <c:v>13410.966765477517</c:v>
                </c:pt>
                <c:pt idx="30">
                  <c:v>2540.2584427814295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6-462E-AF45-F773A3143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456527"/>
        <c:axId val="1243471407"/>
      </c:lineChart>
      <c:catAx>
        <c:axId val="124343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26767"/>
        <c:crosses val="autoZero"/>
        <c:auto val="1"/>
        <c:lblAlgn val="ctr"/>
        <c:lblOffset val="100"/>
        <c:noMultiLvlLbl val="0"/>
      </c:catAx>
      <c:valAx>
        <c:axId val="1243426767"/>
        <c:scaling>
          <c:orientation val="minMax"/>
          <c:max val="335000"/>
          <c:min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31567"/>
        <c:crosses val="autoZero"/>
        <c:crossBetween val="between"/>
      </c:valAx>
      <c:valAx>
        <c:axId val="1243471407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56527"/>
        <c:crosses val="max"/>
        <c:crossBetween val="between"/>
      </c:valAx>
      <c:catAx>
        <c:axId val="12434565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3471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440082855371875E-3"/>
          <c:y val="0.91717958497118857"/>
          <c:w val="0.98893986708617432"/>
          <c:h val="8.2820415028811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alt.'!$I$11:$I$21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0.27127253505016136</c:v>
                </c:pt>
                <c:pt idx="2">
                  <c:v>0.24453382051805383</c:v>
                </c:pt>
                <c:pt idx="3">
                  <c:v>0.1687448554594369</c:v>
                </c:pt>
                <c:pt idx="4">
                  <c:v>0.10720535660216973</c:v>
                </c:pt>
                <c:pt idx="5">
                  <c:v>5.1494397917736696E-2</c:v>
                </c:pt>
                <c:pt idx="6">
                  <c:v>2.5719408627352471E-2</c:v>
                </c:pt>
                <c:pt idx="7">
                  <c:v>1.3420031691491294E-2</c:v>
                </c:pt>
                <c:pt idx="8">
                  <c:v>8.0791014464149137E-3</c:v>
                </c:pt>
                <c:pt idx="9">
                  <c:v>5.8090554006742009E-3</c:v>
                </c:pt>
                <c:pt idx="10">
                  <c:v>1.6837856977847357E-2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B-4BE6-A97A-4941813D230A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alt.'!$J$11:$J$21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0.35815611535882258</c:v>
                </c:pt>
                <c:pt idx="2">
                  <c:v>0.60268993587687647</c:v>
                </c:pt>
                <c:pt idx="3">
                  <c:v>0.77143479133631332</c:v>
                </c:pt>
                <c:pt idx="4">
                  <c:v>0.87864014793848311</c:v>
                </c:pt>
                <c:pt idx="5">
                  <c:v>0.9301345458562198</c:v>
                </c:pt>
                <c:pt idx="6">
                  <c:v>0.95585395448357224</c:v>
                </c:pt>
                <c:pt idx="7">
                  <c:v>0.96927398617506355</c:v>
                </c:pt>
                <c:pt idx="8">
                  <c:v>0.97735308762147843</c:v>
                </c:pt>
                <c:pt idx="9">
                  <c:v>0.98316214302215266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B-4BE6-A97A-4941813D2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462478463316007"/>
          <c:h val="6.62743914673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alt.'!$K$11:$K$21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0.13004368320422824</c:v>
                </c:pt>
                <c:pt idx="2">
                  <c:v>0.20392760575765045</c:v>
                </c:pt>
                <c:pt idx="3">
                  <c:v>0.19503275727143551</c:v>
                </c:pt>
                <c:pt idx="4">
                  <c:v>0.15919826871694887</c:v>
                </c:pt>
                <c:pt idx="5">
                  <c:v>9.326351028234349E-2</c:v>
                </c:pt>
                <c:pt idx="6">
                  <c:v>5.5137839521878153E-2</c:v>
                </c:pt>
                <c:pt idx="7">
                  <c:v>3.3280064631675821E-2</c:v>
                </c:pt>
                <c:pt idx="8">
                  <c:v>2.278140988119666E-2</c:v>
                </c:pt>
                <c:pt idx="9">
                  <c:v>1.8321071090149795E-2</c:v>
                </c:pt>
                <c:pt idx="10">
                  <c:v>7.4001965496692801E-2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2-4BEA-81C9-B0A78FF651C8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alt.'!$L$11:$L$21</c:f>
              <c:numCache>
                <c:formatCode>0.00%</c:formatCode>
                <c:ptCount val="11"/>
                <c:pt idx="0">
                  <c:v>1.5011824145800174E-2</c:v>
                </c:pt>
                <c:pt idx="1">
                  <c:v>0.14505550735002842</c:v>
                </c:pt>
                <c:pt idx="2">
                  <c:v>0.34898311310767888</c:v>
                </c:pt>
                <c:pt idx="3">
                  <c:v>0.54401587037911436</c:v>
                </c:pt>
                <c:pt idx="4">
                  <c:v>0.70321413909606323</c:v>
                </c:pt>
                <c:pt idx="5">
                  <c:v>0.7964776493784067</c:v>
                </c:pt>
                <c:pt idx="6">
                  <c:v>0.85161548890028482</c:v>
                </c:pt>
                <c:pt idx="7">
                  <c:v>0.8848955535319607</c:v>
                </c:pt>
                <c:pt idx="8">
                  <c:v>0.9076769634131574</c:v>
                </c:pt>
                <c:pt idx="9">
                  <c:v>0.9259980345033072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2-4BEA-81C9-B0A78FF6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033710629921258"/>
          <c:h val="6.6274385865521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'Elab. elasticità alt.'!$S$37</c:f>
              <c:strCache>
                <c:ptCount val="1"/>
                <c:pt idx="0">
                  <c:v>Elasticità al punto di inflazione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383858863160176E-2"/>
                  <c:y val="0.248565258710113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0E-463D-BC59-32827244F185}"/>
                </c:ext>
              </c:extLst>
            </c:dLbl>
            <c:dLbl>
              <c:idx val="1"/>
              <c:layout>
                <c:manualLayout>
                  <c:x val="-1.7603909269174416E-2"/>
                  <c:y val="0.1065279680186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0E-463D-BC59-32827244F185}"/>
                </c:ext>
              </c:extLst>
            </c:dLbl>
            <c:dLbl>
              <c:idx val="2"/>
              <c:layout>
                <c:manualLayout>
                  <c:x val="-2.9339848781957351E-2"/>
                  <c:y val="-7.4964125642732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0E-463D-BC59-32827244F185}"/>
                </c:ext>
              </c:extLst>
            </c:dLbl>
            <c:dLbl>
              <c:idx val="3"/>
              <c:layout>
                <c:manualLayout>
                  <c:x val="3.9119798375943111E-3"/>
                  <c:y val="0.21305593603724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0E-463D-BC59-32827244F185}"/>
                </c:ext>
              </c:extLst>
            </c:dLbl>
            <c:dLbl>
              <c:idx val="4"/>
              <c:layout>
                <c:manualLayout>
                  <c:x val="-1.1735939512782933E-2"/>
                  <c:y val="0.12230988920656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0E-463D-BC59-32827244F185}"/>
                </c:ext>
              </c:extLst>
            </c:dLbl>
            <c:dLbl>
              <c:idx val="5"/>
              <c:layout>
                <c:manualLayout>
                  <c:x val="3.9119798375943149E-2"/>
                  <c:y val="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0E-463D-BC59-32827244F185}"/>
                </c:ext>
              </c:extLst>
            </c:dLbl>
            <c:dLbl>
              <c:idx val="6"/>
              <c:layout>
                <c:manualLayout>
                  <c:x val="-3.9119798375943466E-3"/>
                  <c:y val="8.285508623670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0E-463D-BC59-32827244F185}"/>
                </c:ext>
              </c:extLst>
            </c:dLbl>
            <c:dLbl>
              <c:idx val="7"/>
              <c:layout>
                <c:manualLayout>
                  <c:x val="-3.5207818538348833E-2"/>
                  <c:y val="-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0E-463D-BC59-32827244F185}"/>
                </c:ext>
              </c:extLst>
            </c:dLbl>
            <c:dLbl>
              <c:idx val="8"/>
              <c:layout>
                <c:manualLayout>
                  <c:x val="1.760390926917433E-2"/>
                  <c:y val="0.110473448315606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0E-463D-BC59-32827244F185}"/>
                </c:ext>
              </c:extLst>
            </c:dLbl>
            <c:dLbl>
              <c:idx val="9"/>
              <c:layout>
                <c:manualLayout>
                  <c:x val="-3.3251828619551643E-2"/>
                  <c:y val="-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0E-463D-BC59-32827244F185}"/>
                </c:ext>
              </c:extLst>
            </c:dLbl>
            <c:dLbl>
              <c:idx val="10"/>
              <c:layout>
                <c:manualLayout>
                  <c:x val="1.9559899187971554E-2"/>
                  <c:y val="0.10258248772163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0E-463D-BC59-32827244F185}"/>
                </c:ext>
              </c:extLst>
            </c:dLbl>
            <c:dLbl>
              <c:idx val="11"/>
              <c:layout>
                <c:manualLayout>
                  <c:x val="-7.8239596751886221E-3"/>
                  <c:y val="-0.1065279680186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0E-463D-BC59-32827244F185}"/>
                </c:ext>
              </c:extLst>
            </c:dLbl>
            <c:dLbl>
              <c:idx val="12"/>
              <c:layout>
                <c:manualLayout>
                  <c:x val="-2.5672583291932012E-2"/>
                  <c:y val="0.4598074713609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0E-463D-BC59-32827244F185}"/>
                </c:ext>
              </c:extLst>
            </c:dLbl>
            <c:dLbl>
              <c:idx val="13"/>
              <c:layout>
                <c:manualLayout>
                  <c:x val="5.9902639800645269E-3"/>
                  <c:y val="-0.178645655153048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0E-463D-BC59-32827244F185}"/>
                </c:ext>
              </c:extLst>
            </c:dLbl>
            <c:dLbl>
              <c:idx val="14"/>
              <c:layout>
                <c:manualLayout>
                  <c:x val="-7.1718801854176676E-17"/>
                  <c:y val="6.707316504876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0E-463D-BC59-32827244F185}"/>
                </c:ext>
              </c:extLst>
            </c:dLbl>
            <c:dLbl>
              <c:idx val="15"/>
              <c:layout>
                <c:manualLayout>
                  <c:x val="2.9339848781957334E-2"/>
                  <c:y val="-9.8637007424648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0E-463D-BC59-32827244F185}"/>
                </c:ext>
              </c:extLst>
            </c:dLbl>
            <c:dLbl>
              <c:idx val="16"/>
              <c:layout>
                <c:manualLayout>
                  <c:x val="2.5427868944362952E-2"/>
                  <c:y val="1.9727401484929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0E-463D-BC59-32827244F185}"/>
                </c:ext>
              </c:extLst>
            </c:dLbl>
            <c:dLbl>
              <c:idx val="17"/>
              <c:layout>
                <c:manualLayout>
                  <c:x val="-4.1075788294740269E-2"/>
                  <c:y val="0.14992825128546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0E-463D-BC59-32827244F185}"/>
                </c:ext>
              </c:extLst>
            </c:dLbl>
            <c:dLbl>
              <c:idx val="18"/>
              <c:layout>
                <c:manualLayout>
                  <c:x val="2.3471879025565939E-2"/>
                  <c:y val="0.12625536950354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0E-463D-BC59-32827244F185}"/>
                </c:ext>
              </c:extLst>
            </c:dLbl>
            <c:dLbl>
              <c:idx val="19"/>
              <c:layout>
                <c:manualLayout>
                  <c:x val="6.0635687482711823E-2"/>
                  <c:y val="0.153873731582451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0E-463D-BC59-32827244F185}"/>
                </c:ext>
              </c:extLst>
            </c:dLbl>
            <c:dLbl>
              <c:idx val="20"/>
              <c:layout>
                <c:manualLayout>
                  <c:x val="-7.8239596751886221E-3"/>
                  <c:y val="-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0E-463D-BC59-32827244F185}"/>
                </c:ext>
              </c:extLst>
            </c:dLbl>
            <c:dLbl>
              <c:idx val="21"/>
              <c:layout>
                <c:manualLayout>
                  <c:x val="7.8239596751886221E-3"/>
                  <c:y val="7.8909605939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0E-463D-BC59-32827244F185}"/>
                </c:ext>
              </c:extLst>
            </c:dLbl>
            <c:dLbl>
              <c:idx val="22"/>
              <c:layout>
                <c:manualLayout>
                  <c:x val="5.8679697563914668E-2"/>
                  <c:y val="0.11836440890957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50E-463D-BC59-32827244F185}"/>
                </c:ext>
              </c:extLst>
            </c:dLbl>
            <c:dLbl>
              <c:idx val="23"/>
              <c:layout>
                <c:manualLayout>
                  <c:x val="-5.8679697563914666E-3"/>
                  <c:y val="-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50E-463D-BC59-32827244F185}"/>
                </c:ext>
              </c:extLst>
            </c:dLbl>
            <c:dLbl>
              <c:idx val="24"/>
              <c:layout>
                <c:manualLayout>
                  <c:x val="-1.7603909269174399E-2"/>
                  <c:y val="4.340028326684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50E-463D-BC59-32827244F185}"/>
                </c:ext>
              </c:extLst>
            </c:dLbl>
            <c:dLbl>
              <c:idx val="25"/>
              <c:layout>
                <c:manualLayout>
                  <c:x val="-9.7799495939857768E-3"/>
                  <c:y val="-0.1341463300975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0E-463D-BC59-32827244F185}"/>
                </c:ext>
              </c:extLst>
            </c:dLbl>
            <c:dLbl>
              <c:idx val="26"/>
              <c:layout>
                <c:manualLayout>
                  <c:x val="1.3691929431580088E-2"/>
                  <c:y val="0.224892376928198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50E-463D-BC59-32827244F185}"/>
                </c:ext>
              </c:extLst>
            </c:dLbl>
            <c:dLbl>
              <c:idx val="27"/>
              <c:layout>
                <c:manualLayout>
                  <c:x val="-1.4343760370835335E-16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0E-463D-BC59-32827244F185}"/>
                </c:ext>
              </c:extLst>
            </c:dLbl>
            <c:dLbl>
              <c:idx val="28"/>
              <c:layout>
                <c:manualLayout>
                  <c:x val="-3.9119798375943107E-2"/>
                  <c:y val="0.130200849800535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50E-463D-BC59-32827244F185}"/>
                </c:ext>
              </c:extLst>
            </c:dLbl>
            <c:dLbl>
              <c:idx val="29"/>
              <c:layout>
                <c:manualLayout>
                  <c:x val="3.3251828619551643E-2"/>
                  <c:y val="0.122309889206563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50E-463D-BC59-32827244F185}"/>
                </c:ext>
              </c:extLst>
            </c:dLbl>
            <c:dLbl>
              <c:idx val="30"/>
              <c:layout>
                <c:manualLayout>
                  <c:x val="-2.1515889106768712E-2"/>
                  <c:y val="-3.5509322672873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50E-463D-BC59-32827244F185}"/>
                </c:ext>
              </c:extLst>
            </c:dLbl>
            <c:dLbl>
              <c:idx val="31"/>
              <c:layout>
                <c:manualLayout>
                  <c:x val="0"/>
                  <c:y val="9.0746046830676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50E-463D-BC59-32827244F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'Elab. elasticità alt.'!$T$36:$AY$36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hp. 2026</c:v>
                </c:pt>
              </c:strCache>
            </c:strRef>
          </c:cat>
          <c:val>
            <c:numRef>
              <c:f>'Elab. elasticità alt.'!$T$37:$AY$37</c:f>
              <c:numCache>
                <c:formatCode>0.00</c:formatCode>
                <c:ptCount val="32"/>
                <c:pt idx="0">
                  <c:v>91.937973712443608</c:v>
                </c:pt>
                <c:pt idx="1">
                  <c:v>91.937973712443608</c:v>
                </c:pt>
                <c:pt idx="2">
                  <c:v>91.937973712443608</c:v>
                </c:pt>
                <c:pt idx="3">
                  <c:v>66.979350517270348</c:v>
                </c:pt>
                <c:pt idx="4">
                  <c:v>87.272096705108581</c:v>
                </c:pt>
                <c:pt idx="5">
                  <c:v>87.272096705108581</c:v>
                </c:pt>
                <c:pt idx="6">
                  <c:v>96.132101755077116</c:v>
                </c:pt>
                <c:pt idx="7">
                  <c:v>96.132101755077116</c:v>
                </c:pt>
                <c:pt idx="8">
                  <c:v>96.132101755077116</c:v>
                </c:pt>
                <c:pt idx="9">
                  <c:v>96.132101755077116</c:v>
                </c:pt>
                <c:pt idx="10">
                  <c:v>96.132101755077116</c:v>
                </c:pt>
                <c:pt idx="11">
                  <c:v>96.132101755077116</c:v>
                </c:pt>
                <c:pt idx="12">
                  <c:v>96.132101755077116</c:v>
                </c:pt>
                <c:pt idx="13">
                  <c:v>87.68215603757794</c:v>
                </c:pt>
                <c:pt idx="14">
                  <c:v>97.772052760820813</c:v>
                </c:pt>
                <c:pt idx="15">
                  <c:v>97.772052760820813</c:v>
                </c:pt>
                <c:pt idx="16">
                  <c:v>96.132101755077116</c:v>
                </c:pt>
                <c:pt idx="17">
                  <c:v>46.816222078787717</c:v>
                </c:pt>
                <c:pt idx="18">
                  <c:v>46.816222078787717</c:v>
                </c:pt>
                <c:pt idx="19">
                  <c:v>72.234982500317713</c:v>
                </c:pt>
                <c:pt idx="20">
                  <c:v>79.18797469741429</c:v>
                </c:pt>
                <c:pt idx="21">
                  <c:v>79.18797469741429</c:v>
                </c:pt>
                <c:pt idx="22">
                  <c:v>79.18797469741429</c:v>
                </c:pt>
                <c:pt idx="23">
                  <c:v>79.18797469741429</c:v>
                </c:pt>
                <c:pt idx="24">
                  <c:v>79.798184395328661</c:v>
                </c:pt>
                <c:pt idx="25">
                  <c:v>80.383282667142964</c:v>
                </c:pt>
                <c:pt idx="26">
                  <c:v>80.383282667142964</c:v>
                </c:pt>
                <c:pt idx="27">
                  <c:v>97.179829852906238</c:v>
                </c:pt>
                <c:pt idx="28">
                  <c:v>97.179829852906238</c:v>
                </c:pt>
                <c:pt idx="29">
                  <c:v>97.179829852906238</c:v>
                </c:pt>
                <c:pt idx="30">
                  <c:v>97.179829852906238</c:v>
                </c:pt>
                <c:pt idx="31">
                  <c:v>97.179829852906238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50E-463D-BC59-32827244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47791"/>
        <c:axId val="919951631"/>
      </c:lineChart>
      <c:catAx>
        <c:axId val="91994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51631"/>
        <c:crosses val="autoZero"/>
        <c:auto val="1"/>
        <c:lblAlgn val="ctr"/>
        <c:lblOffset val="100"/>
        <c:noMultiLvlLbl val="0"/>
      </c:catAx>
      <c:valAx>
        <c:axId val="919951631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994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4096528600534"/>
          <c:y val="2.2602968990949414E-2"/>
          <c:w val="0.82120089289217035"/>
          <c:h val="0.76887358441838705"/>
        </c:manualLayout>
      </c:layout>
      <c:lineChart>
        <c:grouping val="standard"/>
        <c:varyColors val="0"/>
        <c:ser>
          <c:idx val="0"/>
          <c:order val="0"/>
          <c:tx>
            <c:strRef>
              <c:f>'Elab. elasticità alt.'!$S$49</c:f>
              <c:strCache>
                <c:ptCount val="1"/>
                <c:pt idx="0">
                  <c:v>Spesa pensioni IVS (stima)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645946090104516E-2"/>
                  <c:y val="-0.28806593696443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BC-458F-9DF1-1C9987B148A3}"/>
                </c:ext>
              </c:extLst>
            </c:dLbl>
            <c:dLbl>
              <c:idx val="29"/>
              <c:layout>
                <c:manualLayout>
                  <c:x val="-0.12429377240896827"/>
                  <c:y val="1.55056594101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BC-458F-9DF1-1C9987B14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'Elab. elasticità alt.'!$T$48:$AX$48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 alt.'!$T$49:$AX$49</c:f>
              <c:numCache>
                <c:formatCode>_-* #,##0_-;\-* #,##0_-;_-* "-"??_-;_-@_-</c:formatCode>
                <c:ptCount val="31"/>
                <c:pt idx="0">
                  <c:v>123545.595</c:v>
                </c:pt>
                <c:pt idx="1">
                  <c:v>135742.85</c:v>
                </c:pt>
                <c:pt idx="2">
                  <c:v>147152.10500000001</c:v>
                </c:pt>
                <c:pt idx="3">
                  <c:v>149161.505</c:v>
                </c:pt>
                <c:pt idx="4">
                  <c:v>158103.33499999999</c:v>
                </c:pt>
                <c:pt idx="5">
                  <c:v>162020.68</c:v>
                </c:pt>
                <c:pt idx="6">
                  <c:v>169626.85</c:v>
                </c:pt>
                <c:pt idx="7">
                  <c:v>177796.44</c:v>
                </c:pt>
                <c:pt idx="8">
                  <c:v>184955.41999999998</c:v>
                </c:pt>
                <c:pt idx="9">
                  <c:v>192315.34</c:v>
                </c:pt>
                <c:pt idx="10">
                  <c:v>199078.35</c:v>
                </c:pt>
                <c:pt idx="11">
                  <c:v>206015.70499999999</c:v>
                </c:pt>
                <c:pt idx="12">
                  <c:v>213622.86</c:v>
                </c:pt>
                <c:pt idx="13">
                  <c:v>221972.70499999999</c:v>
                </c:pt>
                <c:pt idx="14">
                  <c:v>230761.86</c:v>
                </c:pt>
                <c:pt idx="15">
                  <c:v>236302.48499999999</c:v>
                </c:pt>
                <c:pt idx="16">
                  <c:v>242565.11499999999</c:v>
                </c:pt>
                <c:pt idx="17">
                  <c:v>247873.28</c:v>
                </c:pt>
                <c:pt idx="18">
                  <c:v>252972.625</c:v>
                </c:pt>
                <c:pt idx="19">
                  <c:v>254639.245</c:v>
                </c:pt>
                <c:pt idx="20">
                  <c:v>256595.45499999999</c:v>
                </c:pt>
                <c:pt idx="21">
                  <c:v>258269.95499999999</c:v>
                </c:pt>
                <c:pt idx="22">
                  <c:v>260901.875</c:v>
                </c:pt>
                <c:pt idx="23">
                  <c:v>265692.91499999998</c:v>
                </c:pt>
                <c:pt idx="24">
                  <c:v>271932.89</c:v>
                </c:pt>
                <c:pt idx="25">
                  <c:v>278263.48499999999</c:v>
                </c:pt>
                <c:pt idx="26">
                  <c:v>282934.35499999998</c:v>
                </c:pt>
                <c:pt idx="27">
                  <c:v>295706.0587922078</c:v>
                </c:pt>
                <c:pt idx="28">
                  <c:v>325356.22534751805</c:v>
                </c:pt>
                <c:pt idx="29">
                  <c:v>347682.30692818313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C-458F-9DF1-1C9987B148A3}"/>
            </c:ext>
          </c:extLst>
        </c:ser>
        <c:ser>
          <c:idx val="1"/>
          <c:order val="1"/>
          <c:tx>
            <c:strRef>
              <c:f>'Elab. elasticità alt.'!$S$50</c:f>
              <c:strCache>
                <c:ptCount val="1"/>
                <c:pt idx="0">
                  <c:v>Dato INPS</c:v>
                </c:pt>
              </c:strCache>
            </c:strRef>
          </c:tx>
          <c:spPr>
            <a:ln w="63500" cap="rnd">
              <a:solidFill>
                <a:schemeClr val="accent4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'Elab. elasticità alt.'!$T$48:$AX$48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 alt.'!$T$50:$AX$50</c:f>
              <c:numCache>
                <c:formatCode>General</c:formatCode>
                <c:ptCount val="31"/>
                <c:pt idx="24">
                  <c:v>272660</c:v>
                </c:pt>
                <c:pt idx="25">
                  <c:v>278468</c:v>
                </c:pt>
                <c:pt idx="26">
                  <c:v>283411</c:v>
                </c:pt>
                <c:pt idx="27">
                  <c:v>292103</c:v>
                </c:pt>
                <c:pt idx="28">
                  <c:v>314894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BC-458F-9DF1-1C9987B1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431567"/>
        <c:axId val="1243426767"/>
      </c:lineChart>
      <c:lineChart>
        <c:grouping val="standard"/>
        <c:varyColors val="0"/>
        <c:ser>
          <c:idx val="2"/>
          <c:order val="2"/>
          <c:tx>
            <c:strRef>
              <c:f>'Elab. elasticità alt.'!$S$51</c:f>
              <c:strCache>
                <c:ptCount val="1"/>
                <c:pt idx="0">
                  <c:v>Spesa rivalutazione pensioni IVS (stima, dx)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7978213952949688E-17"/>
                  <c:y val="4.1152276709204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9A-4EC1-8EDF-486A26276821}"/>
                </c:ext>
              </c:extLst>
            </c:dLbl>
            <c:dLbl>
              <c:idx val="14"/>
              <c:layout>
                <c:manualLayout>
                  <c:x val="6.2146886204484135E-3"/>
                  <c:y val="-6.5843642734727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9A-4EC1-8EDF-486A26276821}"/>
                </c:ext>
              </c:extLst>
            </c:dLbl>
            <c:dLbl>
              <c:idx val="27"/>
              <c:layout>
                <c:manualLayout>
                  <c:x val="-0.12843689815593387"/>
                  <c:y val="-6.584364273472763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BC-458F-9DF1-1C9987B148A3}"/>
                </c:ext>
              </c:extLst>
            </c:dLbl>
            <c:dLbl>
              <c:idx val="28"/>
              <c:layout>
                <c:manualLayout>
                  <c:x val="1.6572502987862437E-2"/>
                  <c:y val="7.407409807656850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BC-458F-9DF1-1C9987B148A3}"/>
                </c:ext>
              </c:extLst>
            </c:dLbl>
            <c:dLbl>
              <c:idx val="29"/>
              <c:layout>
                <c:manualLayout>
                  <c:x val="-8.2862514939312185E-3"/>
                  <c:y val="4.9382732051045639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BC-458F-9DF1-1C9987B148A3}"/>
                </c:ext>
              </c:extLst>
            </c:dLbl>
            <c:dLbl>
              <c:idx val="30"/>
              <c:layout>
                <c:manualLayout>
                  <c:x val="-0.10357814367414038"/>
                  <c:y val="2.8806593696443308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Calibri Light" panose="020F0302020204030204" pitchFamily="34" charset="0"/>
                      <a:ea typeface="Calibri Light" panose="020F0302020204030204" pitchFamily="34" charset="0"/>
                      <a:cs typeface="Calibri Light" panose="020F03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BB-4141-AC35-4B640F4B4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'Elab. elasticità alt.'!$T$48:$AX$48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'Elab. elasticità alt.'!$T$51:$AX$51</c:f>
              <c:numCache>
                <c:formatCode>_-* #,##0_-;\-* #,##0_-;_-* "-"??_-;_-@_-</c:formatCode>
                <c:ptCount val="31"/>
                <c:pt idx="1">
                  <c:v>6056.9370105735934</c:v>
                </c:pt>
                <c:pt idx="2">
                  <c:v>4806.3301816784569</c:v>
                </c:pt>
                <c:pt idx="3">
                  <c:v>1654.6015875325425</c:v>
                </c:pt>
                <c:pt idx="4">
                  <c:v>2313.8850281267783</c:v>
                </c:pt>
                <c:pt idx="5">
                  <c:v>2180.0855075601885</c:v>
                </c:pt>
                <c:pt idx="6">
                  <c:v>3998.9809963959578</c:v>
                </c:pt>
                <c:pt idx="7">
                  <c:v>4347.7433868246635</c:v>
                </c:pt>
                <c:pt idx="8">
                  <c:v>4050.7910744395999</c:v>
                </c:pt>
                <c:pt idx="9">
                  <c:v>4389.4753349745279</c:v>
                </c:pt>
                <c:pt idx="10">
                  <c:v>3651.3163722035947</c:v>
                </c:pt>
                <c:pt idx="11">
                  <c:v>3212.7615659797912</c:v>
                </c:pt>
                <c:pt idx="12">
                  <c:v>3911.4327364502797</c:v>
                </c:pt>
                <c:pt idx="13">
                  <c:v>3144.4520104259323</c:v>
                </c:pt>
                <c:pt idx="14">
                  <c:v>6858.0617398121885</c:v>
                </c:pt>
                <c:pt idx="15">
                  <c:v>1559.6024494201431</c:v>
                </c:pt>
                <c:pt idx="16">
                  <c:v>3589.1682162136185</c:v>
                </c:pt>
                <c:pt idx="17">
                  <c:v>3027.7887787129316</c:v>
                </c:pt>
                <c:pt idx="18">
                  <c:v>3437.8303176987179</c:v>
                </c:pt>
                <c:pt idx="19">
                  <c:v>1984.9560198253782</c:v>
                </c:pt>
                <c:pt idx="20">
                  <c:v>398.24623027806638</c:v>
                </c:pt>
                <c:pt idx="21">
                  <c:v>0</c:v>
                </c:pt>
                <c:pt idx="22">
                  <c:v>0</c:v>
                </c:pt>
                <c:pt idx="23">
                  <c:v>1841.6090211672818</c:v>
                </c:pt>
                <c:pt idx="24">
                  <c:v>2303.0468527996718</c:v>
                </c:pt>
                <c:pt idx="25">
                  <c:v>1079.2811316910529</c:v>
                </c:pt>
                <c:pt idx="26">
                  <c:v>0</c:v>
                </c:pt>
                <c:pt idx="27">
                  <c:v>4496.2014572856697</c:v>
                </c:pt>
                <c:pt idx="28">
                  <c:v>22985.739500860207</c:v>
                </c:pt>
                <c:pt idx="29">
                  <c:v>16860.331892571263</c:v>
                </c:pt>
                <c:pt idx="30">
                  <c:v>2669.2288869815939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9BC-458F-9DF1-1C9987B1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456527"/>
        <c:axId val="1243471407"/>
      </c:lineChart>
      <c:catAx>
        <c:axId val="124343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26767"/>
        <c:crosses val="autoZero"/>
        <c:auto val="1"/>
        <c:lblAlgn val="ctr"/>
        <c:lblOffset val="100"/>
        <c:noMultiLvlLbl val="0"/>
      </c:catAx>
      <c:valAx>
        <c:axId val="1243426767"/>
        <c:scaling>
          <c:orientation val="minMax"/>
          <c:max val="350000"/>
          <c:min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31567"/>
        <c:crosses val="autoZero"/>
        <c:crossBetween val="between"/>
      </c:valAx>
      <c:valAx>
        <c:axId val="1243471407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1243456527"/>
        <c:crosses val="max"/>
        <c:crossBetween val="between"/>
      </c:valAx>
      <c:catAx>
        <c:axId val="12434565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3471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440082855371875E-3"/>
          <c:y val="0.91717958497118857"/>
          <c:w val="0.98893986708617432"/>
          <c:h val="8.2820415028811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Densità nella fascia</c:v>
          </c:tx>
          <c:spPr>
            <a:ln w="381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 (2)'!$H$11:$H$21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 (2)'!$I$11:$I$21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0.27127253505016136</c:v>
                </c:pt>
                <c:pt idx="2">
                  <c:v>0.24453382051805383</c:v>
                </c:pt>
                <c:pt idx="3">
                  <c:v>0.1687448554594369</c:v>
                </c:pt>
                <c:pt idx="4">
                  <c:v>0.10720535660216973</c:v>
                </c:pt>
                <c:pt idx="5">
                  <c:v>5.1494397917736696E-2</c:v>
                </c:pt>
                <c:pt idx="6">
                  <c:v>2.5719408627352471E-2</c:v>
                </c:pt>
                <c:pt idx="7">
                  <c:v>1.3420031691491294E-2</c:v>
                </c:pt>
                <c:pt idx="8">
                  <c:v>8.0791014464149137E-3</c:v>
                </c:pt>
                <c:pt idx="9">
                  <c:v>5.8090554006742009E-3</c:v>
                </c:pt>
                <c:pt idx="10">
                  <c:v>1.6837856977847357E-2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4-4B85-B538-FE121E7E741F}"/>
            </c:ext>
          </c:extLst>
        </c:ser>
        <c:ser>
          <c:idx val="1"/>
          <c:order val="1"/>
          <c:tx>
            <c:v>Densità cumulata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'Elab. elasticità alt. (2)'!$H$11:$H$21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11+</c:v>
                </c:pt>
              </c:strCache>
            </c:strRef>
          </c:cat>
          <c:val>
            <c:numRef>
              <c:f>'Elab. elasticità alt. (2)'!$J$11:$J$21</c:f>
              <c:numCache>
                <c:formatCode>0.00%</c:formatCode>
                <c:ptCount val="11"/>
                <c:pt idx="0">
                  <c:v>8.6883580308661224E-2</c:v>
                </c:pt>
                <c:pt idx="1">
                  <c:v>0.35815611535882258</c:v>
                </c:pt>
                <c:pt idx="2">
                  <c:v>0.60268993587687647</c:v>
                </c:pt>
                <c:pt idx="3">
                  <c:v>0.77143479133631332</c:v>
                </c:pt>
                <c:pt idx="4">
                  <c:v>0.87864014793848311</c:v>
                </c:pt>
                <c:pt idx="5">
                  <c:v>0.9301345458562198</c:v>
                </c:pt>
                <c:pt idx="6">
                  <c:v>0.95585395448357224</c:v>
                </c:pt>
                <c:pt idx="7">
                  <c:v>0.96927398617506355</c:v>
                </c:pt>
                <c:pt idx="8">
                  <c:v>0.97735308762147843</c:v>
                </c:pt>
                <c:pt idx="9">
                  <c:v>0.98316214302215266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4-4B85-B538-FE121E7E7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96"/>
        <c:axId val="539803376"/>
      </c:lineChart>
      <c:catAx>
        <c:axId val="5398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3376"/>
        <c:crosses val="autoZero"/>
        <c:auto val="1"/>
        <c:lblAlgn val="ctr"/>
        <c:lblOffset val="100"/>
        <c:noMultiLvlLbl val="0"/>
      </c:catAx>
      <c:valAx>
        <c:axId val="5398033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539802896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313101487314"/>
          <c:y val="0.93372561413447841"/>
          <c:w val="0.75462478463316007"/>
          <c:h val="6.62743914673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434514</xdr:colOff>
      <xdr:row>1</xdr:row>
      <xdr:rowOff>180975</xdr:rowOff>
    </xdr:from>
    <xdr:to>
      <xdr:col>18</xdr:col>
      <xdr:colOff>457200</xdr:colOff>
      <xdr:row>51</xdr:row>
      <xdr:rowOff>45283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19E675E-37A4-4CA0-A83E-683D88F80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714" y="371475"/>
          <a:ext cx="9776286" cy="938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19049</xdr:colOff>
      <xdr:row>1</xdr:row>
      <xdr:rowOff>158971</xdr:rowOff>
    </xdr:from>
    <xdr:to>
      <xdr:col>30</xdr:col>
      <xdr:colOff>106244</xdr:colOff>
      <xdr:row>23</xdr:row>
      <xdr:rowOff>155325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762AC92-7AEB-4C06-97D5-F0DF0CD3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1049" y="349471"/>
          <a:ext cx="6183195" cy="4187354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25</xdr:row>
      <xdr:rowOff>9526</xdr:rowOff>
    </xdr:from>
    <xdr:to>
      <xdr:col>32</xdr:col>
      <xdr:colOff>382526</xdr:colOff>
      <xdr:row>49</xdr:row>
      <xdr:rowOff>159778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7317D98-4272-4615-BCF3-0639E90D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11050" y="4772026"/>
          <a:ext cx="7678676" cy="4722252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0.36719</cdr:x>
      <cdr:y>0.08837</cdr:y>
    </cdr:from>
    <cdr:to>
      <cdr:x>0.3724</cdr:x>
      <cdr:y>0.83063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F9B033B8-3757-1594-1CD5-9C27B4D3B221}"/>
            </a:ext>
          </a:extLst>
        </cdr:cNvPr>
        <cdr:cNvCxnSpPr/>
      </cdr:nvCxnSpPr>
      <cdr:spPr>
        <a:xfrm xmlns:a="http://schemas.openxmlformats.org/drawingml/2006/main" flipH="1">
          <a:off x="1343025" y="285750"/>
          <a:ext cx="19050" cy="24003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25</xdr:row>
      <xdr:rowOff>4762</xdr:rowOff>
    </xdr:from>
    <xdr:to>
      <xdr:col>13</xdr:col>
      <xdr:colOff>9525</xdr:colOff>
      <xdr:row>42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22CCB0B-1D08-48F5-89FC-0D10B8B05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0</xdr:colOff>
      <xdr:row>60</xdr:row>
      <xdr:rowOff>185738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60000FC-89FA-4F5B-B1B5-6A3A106A4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54357</xdr:colOff>
      <xdr:row>54</xdr:row>
      <xdr:rowOff>187037</xdr:rowOff>
    </xdr:from>
    <xdr:to>
      <xdr:col>33</xdr:col>
      <xdr:colOff>450273</xdr:colOff>
      <xdr:row>70</xdr:row>
      <xdr:rowOff>173183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C4D0F8D-9948-4B6A-9877-A93BBA7A4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51954</xdr:colOff>
      <xdr:row>74</xdr:row>
      <xdr:rowOff>178376</xdr:rowOff>
    </xdr:from>
    <xdr:to>
      <xdr:col>33</xdr:col>
      <xdr:colOff>467591</xdr:colOff>
      <xdr:row>91</xdr:row>
      <xdr:rowOff>25975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FBB982-2C62-4C28-B76C-DE0EADE87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0.27865</cdr:x>
      <cdr:y>0.06038</cdr:y>
    </cdr:from>
    <cdr:to>
      <cdr:x>0.28646</cdr:x>
      <cdr:y>0.83211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65E7D101-BA90-054C-728D-3D2049296A40}"/>
            </a:ext>
          </a:extLst>
        </cdr:cNvPr>
        <cdr:cNvCxnSpPr/>
      </cdr:nvCxnSpPr>
      <cdr:spPr>
        <a:xfrm xmlns:a="http://schemas.openxmlformats.org/drawingml/2006/main" flipH="1">
          <a:off x="1019175" y="195263"/>
          <a:ext cx="28575" cy="249555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0.36719</cdr:x>
      <cdr:y>0.08837</cdr:y>
    </cdr:from>
    <cdr:to>
      <cdr:x>0.3724</cdr:x>
      <cdr:y>0.83063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F9B033B8-3757-1594-1CD5-9C27B4D3B221}"/>
            </a:ext>
          </a:extLst>
        </cdr:cNvPr>
        <cdr:cNvCxnSpPr/>
      </cdr:nvCxnSpPr>
      <cdr:spPr>
        <a:xfrm xmlns:a="http://schemas.openxmlformats.org/drawingml/2006/main" flipH="1">
          <a:off x="1343025" y="285750"/>
          <a:ext cx="19050" cy="24003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118</xdr:row>
      <xdr:rowOff>171450</xdr:rowOff>
    </xdr:from>
    <xdr:to>
      <xdr:col>24</xdr:col>
      <xdr:colOff>192688</xdr:colOff>
      <xdr:row>165</xdr:row>
      <xdr:rowOff>106015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B9934A3-D9E5-0EAF-42BE-3E7028604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0" y="22650450"/>
          <a:ext cx="15680338" cy="888806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0</xdr:colOff>
      <xdr:row>60</xdr:row>
      <xdr:rowOff>0</xdr:rowOff>
    </xdr:from>
    <xdr:to>
      <xdr:col>71</xdr:col>
      <xdr:colOff>228944</xdr:colOff>
      <xdr:row>88</xdr:row>
      <xdr:rowOff>124587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A22CC9D-3D80-541B-B0E5-2BA909EF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87833" y="11535833"/>
          <a:ext cx="10050278" cy="5458587"/>
        </a:xfrm>
        <a:prstGeom prst="rect">
          <a:avLst/>
        </a:prstGeom>
      </xdr:spPr>
    </xdr:pic>
    <xdr:clientData/>
  </xdr:twoCellAnchor>
  <xdr:twoCellAnchor>
    <xdr:from>
      <xdr:col>24</xdr:col>
      <xdr:colOff>571499</xdr:colOff>
      <xdr:row>102</xdr:row>
      <xdr:rowOff>189440</xdr:rowOff>
    </xdr:from>
    <xdr:to>
      <xdr:col>37</xdr:col>
      <xdr:colOff>560916</xdr:colOff>
      <xdr:row>126</xdr:row>
      <xdr:rowOff>158749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BBDA40B-400B-3E42-51D0-D521049CE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82</xdr:row>
      <xdr:rowOff>0</xdr:rowOff>
    </xdr:from>
    <xdr:to>
      <xdr:col>32</xdr:col>
      <xdr:colOff>144438</xdr:colOff>
      <xdr:row>124</xdr:row>
      <xdr:rowOff>144012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8022D51-D1F4-45D9-82EF-1369C43B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15173325"/>
          <a:ext cx="11202963" cy="814501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866775</xdr:colOff>
      <xdr:row>13</xdr:row>
      <xdr:rowOff>14287</xdr:rowOff>
    </xdr:from>
    <xdr:to>
      <xdr:col>13</xdr:col>
      <xdr:colOff>9525</xdr:colOff>
      <xdr:row>27</xdr:row>
      <xdr:rowOff>180975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8E971B-EEAF-24EB-E264-164B62727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866775</xdr:colOff>
      <xdr:row>13</xdr:row>
      <xdr:rowOff>14287</xdr:rowOff>
    </xdr:from>
    <xdr:to>
      <xdr:col>13</xdr:col>
      <xdr:colOff>9525</xdr:colOff>
      <xdr:row>27</xdr:row>
      <xdr:rowOff>180975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9271984-5C1F-4D33-8A0E-CA1001F3D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15</xdr:row>
      <xdr:rowOff>90486</xdr:rowOff>
    </xdr:from>
    <xdr:to>
      <xdr:col>13</xdr:col>
      <xdr:colOff>0</xdr:colOff>
      <xdr:row>30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5D4A1A9-D165-84B3-3B90-658000A96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25</xdr:row>
      <xdr:rowOff>4762</xdr:rowOff>
    </xdr:from>
    <xdr:to>
      <xdr:col>13</xdr:col>
      <xdr:colOff>9525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56C754D-D58D-E896-E86B-2A985E993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0</xdr:colOff>
      <xdr:row>60</xdr:row>
      <xdr:rowOff>185738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B1066A3-21C5-4637-8A47-849CB8C81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54357</xdr:colOff>
      <xdr:row>54</xdr:row>
      <xdr:rowOff>187037</xdr:rowOff>
    </xdr:from>
    <xdr:to>
      <xdr:col>33</xdr:col>
      <xdr:colOff>450273</xdr:colOff>
      <xdr:row>70</xdr:row>
      <xdr:rowOff>173183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1EE46F4-4505-92D4-5F09-6D81E928E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51954</xdr:colOff>
      <xdr:row>74</xdr:row>
      <xdr:rowOff>178376</xdr:rowOff>
    </xdr:from>
    <xdr:to>
      <xdr:col>33</xdr:col>
      <xdr:colOff>467591</xdr:colOff>
      <xdr:row>91</xdr:row>
      <xdr:rowOff>25975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61DE273-F7D2-7AE5-03C6-F9FF4D1E1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17</xdr:row>
      <xdr:rowOff>109537</xdr:rowOff>
    </xdr:from>
    <xdr:to>
      <xdr:col>13</xdr:col>
      <xdr:colOff>28574</xdr:colOff>
      <xdr:row>32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270480-2D40-4F14-B564-6B6E9E54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17</xdr:row>
      <xdr:rowOff>109537</xdr:rowOff>
    </xdr:from>
    <xdr:to>
      <xdr:col>13</xdr:col>
      <xdr:colOff>28574</xdr:colOff>
      <xdr:row>32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981C27A-6B70-4455-ADA8-3D44D58DC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25</xdr:row>
      <xdr:rowOff>4762</xdr:rowOff>
    </xdr:from>
    <xdr:to>
      <xdr:col>13</xdr:col>
      <xdr:colOff>9525</xdr:colOff>
      <xdr:row>42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38A1C6-13A0-4BFC-BE79-469318BEB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0</xdr:colOff>
      <xdr:row>60</xdr:row>
      <xdr:rowOff>185738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71F7DEF-1D0D-467D-94DD-7524DAC87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54357</xdr:colOff>
      <xdr:row>54</xdr:row>
      <xdr:rowOff>187037</xdr:rowOff>
    </xdr:from>
    <xdr:to>
      <xdr:col>33</xdr:col>
      <xdr:colOff>450273</xdr:colOff>
      <xdr:row>70</xdr:row>
      <xdr:rowOff>173183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BA4AAE9-109D-4BE5-963D-DE8FEFAEB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566690</xdr:colOff>
      <xdr:row>77</xdr:row>
      <xdr:rowOff>129886</xdr:rowOff>
    </xdr:from>
    <xdr:to>
      <xdr:col>33</xdr:col>
      <xdr:colOff>398319</xdr:colOff>
      <xdr:row>94</xdr:row>
      <xdr:rowOff>159327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35978B5-05F0-4B1C-9F20-2F98B9D8B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0.27865</cdr:x>
      <cdr:y>0.06038</cdr:y>
    </cdr:from>
    <cdr:to>
      <cdr:x>0.28646</cdr:x>
      <cdr:y>0.83211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65E7D101-BA90-054C-728D-3D2049296A40}"/>
            </a:ext>
          </a:extLst>
        </cdr:cNvPr>
        <cdr:cNvCxnSpPr/>
      </cdr:nvCxnSpPr>
      <cdr:spPr>
        <a:xfrm xmlns:a="http://schemas.openxmlformats.org/drawingml/2006/main" flipH="1">
          <a:off x="1019175" y="195263"/>
          <a:ext cx="28575" cy="249555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0.36719</cdr:x>
      <cdr:y>0.08837</cdr:y>
    </cdr:from>
    <cdr:to>
      <cdr:x>0.3724</cdr:x>
      <cdr:y>0.83063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F9B033B8-3757-1594-1CD5-9C27B4D3B221}"/>
            </a:ext>
          </a:extLst>
        </cdr:cNvPr>
        <cdr:cNvCxnSpPr/>
      </cdr:nvCxnSpPr>
      <cdr:spPr>
        <a:xfrm xmlns:a="http://schemas.openxmlformats.org/drawingml/2006/main" flipH="1">
          <a:off x="1343025" y="285750"/>
          <a:ext cx="19050" cy="24003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0.27865</cdr:x>
      <cdr:y>0.06038</cdr:y>
    </cdr:from>
    <cdr:to>
      <cdr:x>0.28646</cdr:x>
      <cdr:y>0.83211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65E7D101-BA90-054C-728D-3D2049296A40}"/>
            </a:ext>
          </a:extLst>
        </cdr:cNvPr>
        <cdr:cNvCxnSpPr/>
      </cdr:nvCxnSpPr>
      <cdr:spPr>
        <a:xfrm xmlns:a="http://schemas.openxmlformats.org/drawingml/2006/main" flipH="1">
          <a:off x="1019175" y="195263"/>
          <a:ext cx="28575" cy="249555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0.36719</cdr:x>
      <cdr:y>0.08837</cdr:y>
    </cdr:from>
    <cdr:to>
      <cdr:x>0.3724</cdr:x>
      <cdr:y>0.83063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F9B033B8-3757-1594-1CD5-9C27B4D3B221}"/>
            </a:ext>
          </a:extLst>
        </cdr:cNvPr>
        <cdr:cNvCxnSpPr/>
      </cdr:nvCxnSpPr>
      <cdr:spPr>
        <a:xfrm xmlns:a="http://schemas.openxmlformats.org/drawingml/2006/main" flipH="1">
          <a:off x="1343025" y="285750"/>
          <a:ext cx="19050" cy="24003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25</xdr:row>
      <xdr:rowOff>4762</xdr:rowOff>
    </xdr:from>
    <xdr:to>
      <xdr:col>13</xdr:col>
      <xdr:colOff>9525</xdr:colOff>
      <xdr:row>42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C0A31A3-1A95-411A-8EBC-A6865136A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0</xdr:colOff>
      <xdr:row>60</xdr:row>
      <xdr:rowOff>185738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F3885A-CA67-44C2-B52B-DE818A87D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54357</xdr:colOff>
      <xdr:row>54</xdr:row>
      <xdr:rowOff>187037</xdr:rowOff>
    </xdr:from>
    <xdr:to>
      <xdr:col>33</xdr:col>
      <xdr:colOff>450273</xdr:colOff>
      <xdr:row>70</xdr:row>
      <xdr:rowOff>173183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B961440-8C8F-4487-AB0F-3EEFE8EF7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51954</xdr:colOff>
      <xdr:row>74</xdr:row>
      <xdr:rowOff>178376</xdr:rowOff>
    </xdr:from>
    <xdr:to>
      <xdr:col>33</xdr:col>
      <xdr:colOff>467591</xdr:colOff>
      <xdr:row>91</xdr:row>
      <xdr:rowOff>25975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8EED95A-95EF-4E8B-96C2-E7A4D80EA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0.27865</cdr:x>
      <cdr:y>0.06038</cdr:y>
    </cdr:from>
    <cdr:to>
      <cdr:x>0.28646</cdr:x>
      <cdr:y>0.83211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65E7D101-BA90-054C-728D-3D2049296A40}"/>
            </a:ext>
          </a:extLst>
        </cdr:cNvPr>
        <cdr:cNvCxnSpPr/>
      </cdr:nvCxnSpPr>
      <cdr:spPr>
        <a:xfrm xmlns:a="http://schemas.openxmlformats.org/drawingml/2006/main" flipH="1">
          <a:off x="1019175" y="195263"/>
          <a:ext cx="28575" cy="249555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0.36719</cdr:x>
      <cdr:y>0.08837</cdr:y>
    </cdr:from>
    <cdr:to>
      <cdr:x>0.3724</cdr:x>
      <cdr:y>0.83063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F9B033B8-3757-1594-1CD5-9C27B4D3B221}"/>
            </a:ext>
          </a:extLst>
        </cdr:cNvPr>
        <cdr:cNvCxnSpPr/>
      </cdr:nvCxnSpPr>
      <cdr:spPr>
        <a:xfrm xmlns:a="http://schemas.openxmlformats.org/drawingml/2006/main" flipH="1">
          <a:off x="1343025" y="285750"/>
          <a:ext cx="19050" cy="24003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25</xdr:row>
      <xdr:rowOff>4762</xdr:rowOff>
    </xdr:from>
    <xdr:to>
      <xdr:col>13</xdr:col>
      <xdr:colOff>9525</xdr:colOff>
      <xdr:row>42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A46599-4591-423C-9878-12747F150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0</xdr:colOff>
      <xdr:row>60</xdr:row>
      <xdr:rowOff>185738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36D8246-CE53-4522-8E31-8CCE4B8FE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54357</xdr:colOff>
      <xdr:row>54</xdr:row>
      <xdr:rowOff>187037</xdr:rowOff>
    </xdr:from>
    <xdr:to>
      <xdr:col>33</xdr:col>
      <xdr:colOff>450273</xdr:colOff>
      <xdr:row>70</xdr:row>
      <xdr:rowOff>173183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9BF67C0-0019-40F6-98F0-F07F683E5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51954</xdr:colOff>
      <xdr:row>74</xdr:row>
      <xdr:rowOff>178376</xdr:rowOff>
    </xdr:from>
    <xdr:to>
      <xdr:col>33</xdr:col>
      <xdr:colOff>467591</xdr:colOff>
      <xdr:row>91</xdr:row>
      <xdr:rowOff>25975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E6AD411-25BC-4BE2-B63E-1D3C7130A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0.27865</cdr:x>
      <cdr:y>0.06038</cdr:y>
    </cdr:from>
    <cdr:to>
      <cdr:x>0.28646</cdr:x>
      <cdr:y>0.83211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65E7D101-BA90-054C-728D-3D2049296A40}"/>
            </a:ext>
          </a:extLst>
        </cdr:cNvPr>
        <cdr:cNvCxnSpPr/>
      </cdr:nvCxnSpPr>
      <cdr:spPr>
        <a:xfrm xmlns:a="http://schemas.openxmlformats.org/drawingml/2006/main" flipH="1">
          <a:off x="1019175" y="195263"/>
          <a:ext cx="28575" cy="249555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www.istat.it/tavole-di-dati/prezzi-al-consumo-dati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istat.it/tavole-di-dati/prezzi-al-consumo-dati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istat.it/tavole-di-dati/prezzi-al-consumo-dati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istat.it/tavole-di-dati/prezzi-al-consumo-dati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istat.it/tavole-di-dati/prezzi-al-consumo-dati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istat.it/tavole-di-dati/prezzi-al-consumo-dati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4BBC-578C-4A63-BB71-17BA5AF033CA}">
  <sheetPr>
    <tabColor rgb="FF92D050"/>
  </sheetPr>
  <dimension ref="C1:AE111"/>
  <sheetViews>
    <sheetView tabSelected="1" zoomScaleNormal="100" workbookViewId="0">
      <selection activeCell="AE20" sqref="AE20"/>
    </sheetView>
  </sheetViews>
  <sheetFormatPr defaultRowHeight="15" x14ac:dyDescent="0.25"/>
  <cols>
    <col min="1" max="2" width="9.140625" style="1"/>
    <col min="3" max="3" width="3.28515625" style="1" customWidth="1"/>
    <col min="4" max="4" width="5.7109375" style="1" customWidth="1"/>
    <col min="5" max="33" width="6.140625" style="1" customWidth="1"/>
    <col min="34" max="36" width="6.28515625" style="1" customWidth="1"/>
    <col min="37" max="37" width="6.140625" style="1" customWidth="1"/>
    <col min="38" max="16384" width="9.140625" style="1"/>
  </cols>
  <sheetData>
    <row r="1" spans="3:21" ht="7.5" customHeight="1" thickBot="1" x14ac:dyDescent="0.3"/>
    <row r="2" spans="3:21" ht="7.5" customHeight="1" thickTop="1" thickBot="1" x14ac:dyDescent="0.3">
      <c r="C2" s="173"/>
      <c r="D2" s="174"/>
      <c r="E2" s="160"/>
      <c r="F2" s="160"/>
      <c r="G2" s="160"/>
      <c r="H2" s="161"/>
      <c r="I2" s="162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3:21" ht="7.5" customHeight="1" thickTop="1" thickBot="1" x14ac:dyDescent="0.3">
      <c r="C3" s="175"/>
      <c r="D3" s="176"/>
      <c r="E3" s="15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3:21" ht="16.5" thickTop="1" thickBot="1" x14ac:dyDescent="0.3">
      <c r="C4" s="177"/>
      <c r="D4" s="178"/>
      <c r="E4" s="37">
        <v>1995</v>
      </c>
      <c r="F4" s="10">
        <v>1996</v>
      </c>
      <c r="G4" s="10">
        <v>1997</v>
      </c>
      <c r="H4" s="11">
        <v>1998</v>
      </c>
      <c r="I4" s="11">
        <v>1999</v>
      </c>
      <c r="J4" s="11">
        <v>2000</v>
      </c>
      <c r="K4" s="12">
        <v>2001</v>
      </c>
      <c r="L4" s="12">
        <v>2002</v>
      </c>
      <c r="M4" s="12">
        <v>2003</v>
      </c>
      <c r="N4" s="12">
        <v>2004</v>
      </c>
      <c r="O4" s="12">
        <v>2005</v>
      </c>
      <c r="P4" s="12">
        <v>2006</v>
      </c>
      <c r="Q4" s="12">
        <v>2007</v>
      </c>
      <c r="R4" s="13">
        <v>2008</v>
      </c>
      <c r="S4" s="13">
        <v>2009</v>
      </c>
      <c r="T4" s="13">
        <v>2010</v>
      </c>
      <c r="U4" s="12">
        <v>2011</v>
      </c>
    </row>
    <row r="5" spans="3:21" ht="15.75" thickTop="1" x14ac:dyDescent="0.25">
      <c r="C5" s="171" t="s">
        <v>1</v>
      </c>
      <c r="D5" s="156">
        <v>1</v>
      </c>
      <c r="E5" s="6">
        <v>100</v>
      </c>
      <c r="F5" s="6">
        <v>100</v>
      </c>
      <c r="G5" s="6">
        <v>100</v>
      </c>
      <c r="H5" s="6">
        <v>100</v>
      </c>
      <c r="I5" s="6">
        <v>100</v>
      </c>
      <c r="J5" s="6">
        <v>100</v>
      </c>
      <c r="K5" s="6">
        <v>100</v>
      </c>
      <c r="L5" s="6">
        <v>100</v>
      </c>
      <c r="M5" s="6">
        <v>100</v>
      </c>
      <c r="N5" s="6">
        <v>100</v>
      </c>
      <c r="O5" s="6">
        <v>100</v>
      </c>
      <c r="P5" s="6">
        <v>100</v>
      </c>
      <c r="Q5" s="6">
        <v>100</v>
      </c>
      <c r="R5" s="6">
        <v>100</v>
      </c>
      <c r="S5" s="6">
        <v>100</v>
      </c>
      <c r="T5" s="6">
        <v>100</v>
      </c>
      <c r="U5" s="6">
        <v>100</v>
      </c>
    </row>
    <row r="6" spans="3:21" x14ac:dyDescent="0.25">
      <c r="C6" s="171"/>
      <c r="D6" s="156">
        <v>2</v>
      </c>
      <c r="E6" s="4">
        <v>100</v>
      </c>
      <c r="F6" s="4">
        <v>100</v>
      </c>
      <c r="G6" s="4">
        <v>100</v>
      </c>
      <c r="H6" s="4">
        <v>100</v>
      </c>
      <c r="I6" s="4">
        <v>100</v>
      </c>
      <c r="J6" s="4">
        <v>100</v>
      </c>
      <c r="K6" s="4">
        <v>100</v>
      </c>
      <c r="L6" s="4">
        <v>100</v>
      </c>
      <c r="M6" s="4">
        <v>100</v>
      </c>
      <c r="N6" s="4">
        <v>100</v>
      </c>
      <c r="O6" s="4">
        <v>100</v>
      </c>
      <c r="P6" s="4">
        <v>100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</row>
    <row r="7" spans="3:21" x14ac:dyDescent="0.25">
      <c r="C7" s="171"/>
      <c r="D7" s="156">
        <v>3</v>
      </c>
      <c r="E7" s="4">
        <v>90</v>
      </c>
      <c r="F7" s="4">
        <v>90</v>
      </c>
      <c r="G7" s="4">
        <v>90</v>
      </c>
      <c r="H7" s="4">
        <v>90</v>
      </c>
      <c r="I7" s="4">
        <v>90</v>
      </c>
      <c r="J7" s="4">
        <v>90</v>
      </c>
      <c r="K7" s="4">
        <v>100</v>
      </c>
      <c r="L7" s="4">
        <v>100</v>
      </c>
      <c r="M7" s="4">
        <v>100</v>
      </c>
      <c r="N7" s="4">
        <v>100</v>
      </c>
      <c r="O7" s="4">
        <v>100</v>
      </c>
      <c r="P7" s="4">
        <v>100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</row>
    <row r="8" spans="3:21" x14ac:dyDescent="0.25">
      <c r="C8" s="171"/>
      <c r="D8" s="156">
        <v>4</v>
      </c>
      <c r="E8" s="4">
        <v>75</v>
      </c>
      <c r="F8" s="4">
        <v>75</v>
      </c>
      <c r="G8" s="4">
        <v>75</v>
      </c>
      <c r="H8" s="4">
        <v>75</v>
      </c>
      <c r="I8" s="4">
        <v>75</v>
      </c>
      <c r="J8" s="4">
        <v>75</v>
      </c>
      <c r="K8" s="4">
        <v>90</v>
      </c>
      <c r="L8" s="4">
        <v>90</v>
      </c>
      <c r="M8" s="4">
        <v>90</v>
      </c>
      <c r="N8" s="4">
        <v>90</v>
      </c>
      <c r="O8" s="4">
        <v>90</v>
      </c>
      <c r="P8" s="4">
        <v>90</v>
      </c>
      <c r="Q8" s="4">
        <v>90</v>
      </c>
      <c r="R8" s="4">
        <v>100</v>
      </c>
      <c r="S8" s="4">
        <v>100</v>
      </c>
      <c r="T8" s="4">
        <v>100</v>
      </c>
      <c r="U8" s="4">
        <v>90</v>
      </c>
    </row>
    <row r="9" spans="3:21" x14ac:dyDescent="0.25">
      <c r="C9" s="171"/>
      <c r="D9" s="156">
        <v>5</v>
      </c>
      <c r="E9" s="4">
        <v>75</v>
      </c>
      <c r="F9" s="4">
        <v>75</v>
      </c>
      <c r="G9" s="4">
        <v>75</v>
      </c>
      <c r="H9" s="4">
        <v>75</v>
      </c>
      <c r="I9" s="4">
        <v>75</v>
      </c>
      <c r="J9" s="4">
        <v>75</v>
      </c>
      <c r="K9" s="4">
        <v>90</v>
      </c>
      <c r="L9" s="4">
        <v>90</v>
      </c>
      <c r="M9" s="4">
        <v>90</v>
      </c>
      <c r="N9" s="4">
        <v>90</v>
      </c>
      <c r="O9" s="4">
        <v>90</v>
      </c>
      <c r="P9" s="4">
        <v>90</v>
      </c>
      <c r="Q9" s="4">
        <v>90</v>
      </c>
      <c r="R9" s="4">
        <v>100</v>
      </c>
      <c r="S9" s="4">
        <v>100</v>
      </c>
      <c r="T9" s="4">
        <v>100</v>
      </c>
      <c r="U9" s="4">
        <v>90</v>
      </c>
    </row>
    <row r="10" spans="3:21" x14ac:dyDescent="0.25">
      <c r="C10" s="171"/>
      <c r="D10" s="156">
        <v>6</v>
      </c>
      <c r="E10" s="4">
        <v>75</v>
      </c>
      <c r="F10" s="4">
        <v>75</v>
      </c>
      <c r="G10" s="4">
        <v>75</v>
      </c>
      <c r="H10" s="167">
        <v>0</v>
      </c>
      <c r="I10" s="4">
        <v>30</v>
      </c>
      <c r="J10" s="4">
        <v>30</v>
      </c>
      <c r="K10" s="4">
        <v>75</v>
      </c>
      <c r="L10" s="4">
        <v>75</v>
      </c>
      <c r="M10" s="4">
        <v>75</v>
      </c>
      <c r="N10" s="4">
        <v>75</v>
      </c>
      <c r="O10" s="4">
        <v>75</v>
      </c>
      <c r="P10" s="4">
        <v>75</v>
      </c>
      <c r="Q10" s="4">
        <v>75</v>
      </c>
      <c r="R10" s="4">
        <v>75</v>
      </c>
      <c r="S10" s="4">
        <v>75</v>
      </c>
      <c r="T10" s="4">
        <v>75</v>
      </c>
      <c r="U10" s="4">
        <v>75</v>
      </c>
    </row>
    <row r="11" spans="3:21" x14ac:dyDescent="0.25">
      <c r="C11" s="171"/>
      <c r="D11" s="156">
        <v>7</v>
      </c>
      <c r="E11" s="4">
        <v>75</v>
      </c>
      <c r="F11" s="4">
        <v>75</v>
      </c>
      <c r="G11" s="4">
        <v>75</v>
      </c>
      <c r="H11" s="167">
        <v>0</v>
      </c>
      <c r="I11" s="4">
        <v>30</v>
      </c>
      <c r="J11" s="4">
        <v>30</v>
      </c>
      <c r="K11" s="4">
        <v>75</v>
      </c>
      <c r="L11" s="4">
        <v>75</v>
      </c>
      <c r="M11" s="4">
        <v>75</v>
      </c>
      <c r="N11" s="4">
        <v>75</v>
      </c>
      <c r="O11" s="4">
        <v>75</v>
      </c>
      <c r="P11" s="4">
        <v>75</v>
      </c>
      <c r="Q11" s="4">
        <v>75</v>
      </c>
      <c r="R11" s="4">
        <v>75</v>
      </c>
      <c r="S11" s="4">
        <v>75</v>
      </c>
      <c r="T11" s="4">
        <v>75</v>
      </c>
      <c r="U11" s="4">
        <v>75</v>
      </c>
    </row>
    <row r="12" spans="3:21" x14ac:dyDescent="0.25">
      <c r="C12" s="171"/>
      <c r="D12" s="156">
        <v>8</v>
      </c>
      <c r="E12" s="4">
        <v>75</v>
      </c>
      <c r="F12" s="4">
        <v>75</v>
      </c>
      <c r="G12" s="4">
        <v>75</v>
      </c>
      <c r="H12" s="167">
        <v>0</v>
      </c>
      <c r="I12" s="4">
        <v>30</v>
      </c>
      <c r="J12" s="4">
        <v>30</v>
      </c>
      <c r="K12" s="4">
        <v>75</v>
      </c>
      <c r="L12" s="4">
        <v>75</v>
      </c>
      <c r="M12" s="4">
        <v>75</v>
      </c>
      <c r="N12" s="4">
        <v>75</v>
      </c>
      <c r="O12" s="4">
        <v>75</v>
      </c>
      <c r="P12" s="4">
        <v>75</v>
      </c>
      <c r="Q12" s="4">
        <v>75</v>
      </c>
      <c r="R12" s="4">
        <v>75</v>
      </c>
      <c r="S12" s="4">
        <v>75</v>
      </c>
      <c r="T12" s="4">
        <v>75</v>
      </c>
      <c r="U12" s="4">
        <v>75</v>
      </c>
    </row>
    <row r="13" spans="3:21" x14ac:dyDescent="0.25">
      <c r="C13" s="171"/>
      <c r="D13" s="156">
        <v>9</v>
      </c>
      <c r="E13" s="4">
        <v>75</v>
      </c>
      <c r="F13" s="4">
        <v>75</v>
      </c>
      <c r="G13" s="4">
        <v>75</v>
      </c>
      <c r="H13" s="167">
        <v>0</v>
      </c>
      <c r="I13" s="4">
        <v>0</v>
      </c>
      <c r="J13" s="4">
        <v>0</v>
      </c>
      <c r="K13" s="4">
        <v>75</v>
      </c>
      <c r="L13" s="4">
        <v>75</v>
      </c>
      <c r="M13" s="4">
        <v>75</v>
      </c>
      <c r="N13" s="4">
        <v>75</v>
      </c>
      <c r="O13" s="4">
        <v>75</v>
      </c>
      <c r="P13" s="4">
        <v>75</v>
      </c>
      <c r="Q13" s="4">
        <v>75</v>
      </c>
      <c r="R13" s="167">
        <v>0</v>
      </c>
      <c r="S13" s="4">
        <v>75</v>
      </c>
      <c r="T13" s="4">
        <v>75</v>
      </c>
      <c r="U13" s="4">
        <v>75</v>
      </c>
    </row>
    <row r="14" spans="3:21" x14ac:dyDescent="0.25">
      <c r="C14" s="171"/>
      <c r="D14" s="156">
        <v>10</v>
      </c>
      <c r="E14" s="4">
        <v>75</v>
      </c>
      <c r="F14" s="4">
        <v>75</v>
      </c>
      <c r="G14" s="4">
        <v>75</v>
      </c>
      <c r="H14" s="167">
        <v>0</v>
      </c>
      <c r="I14" s="4">
        <v>0</v>
      </c>
      <c r="J14" s="4">
        <v>0</v>
      </c>
      <c r="K14" s="4">
        <v>75</v>
      </c>
      <c r="L14" s="4">
        <v>75</v>
      </c>
      <c r="M14" s="4">
        <v>75</v>
      </c>
      <c r="N14" s="4">
        <v>75</v>
      </c>
      <c r="O14" s="4">
        <v>75</v>
      </c>
      <c r="P14" s="4">
        <v>75</v>
      </c>
      <c r="Q14" s="4">
        <v>75</v>
      </c>
      <c r="R14" s="167">
        <v>0</v>
      </c>
      <c r="S14" s="4">
        <v>75</v>
      </c>
      <c r="T14" s="4">
        <v>75</v>
      </c>
      <c r="U14" s="4">
        <v>75</v>
      </c>
    </row>
    <row r="15" spans="3:21" ht="15.75" thickBot="1" x14ac:dyDescent="0.3">
      <c r="C15" s="172"/>
      <c r="D15" s="157" t="s">
        <v>0</v>
      </c>
      <c r="E15" s="41">
        <v>75</v>
      </c>
      <c r="F15" s="41">
        <v>75</v>
      </c>
      <c r="G15" s="41">
        <v>75</v>
      </c>
      <c r="H15" s="167">
        <v>0</v>
      </c>
      <c r="I15" s="41">
        <v>0</v>
      </c>
      <c r="J15" s="41">
        <v>0</v>
      </c>
      <c r="K15" s="41">
        <v>75</v>
      </c>
      <c r="L15" s="41">
        <v>75</v>
      </c>
      <c r="M15" s="41">
        <v>75</v>
      </c>
      <c r="N15" s="41">
        <v>75</v>
      </c>
      <c r="O15" s="41">
        <v>75</v>
      </c>
      <c r="P15" s="41">
        <v>75</v>
      </c>
      <c r="Q15" s="41">
        <v>75</v>
      </c>
      <c r="R15" s="168">
        <v>0</v>
      </c>
      <c r="S15" s="41">
        <v>75</v>
      </c>
      <c r="T15" s="41">
        <v>75</v>
      </c>
      <c r="U15" s="41">
        <v>75</v>
      </c>
    </row>
    <row r="16" spans="3:21" ht="15.75" thickTop="1" x14ac:dyDescent="0.25"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</row>
    <row r="17" spans="3:31" ht="15.75" thickBot="1" x14ac:dyDescent="0.3">
      <c r="C17" s="127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</row>
    <row r="18" spans="3:31" ht="6.75" customHeight="1" thickTop="1" thickBot="1" x14ac:dyDescent="0.3">
      <c r="C18" s="173"/>
      <c r="D18" s="174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4"/>
    </row>
    <row r="19" spans="3:31" ht="6.75" customHeight="1" thickTop="1" thickBot="1" x14ac:dyDescent="0.3">
      <c r="C19" s="175"/>
      <c r="D19" s="176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9"/>
      <c r="P19" s="165"/>
      <c r="Q19" s="165"/>
      <c r="R19" s="9"/>
      <c r="S19" s="9"/>
      <c r="U19" s="218" t="s">
        <v>167</v>
      </c>
    </row>
    <row r="20" spans="3:31" ht="16.5" thickTop="1" thickBot="1" x14ac:dyDescent="0.3">
      <c r="C20" s="177"/>
      <c r="D20" s="178"/>
      <c r="E20" s="14">
        <v>2012</v>
      </c>
      <c r="F20" s="14">
        <v>2013</v>
      </c>
      <c r="G20" s="15">
        <v>2014</v>
      </c>
      <c r="H20" s="16">
        <v>2015</v>
      </c>
      <c r="I20" s="16">
        <v>2016</v>
      </c>
      <c r="J20" s="16">
        <v>2017</v>
      </c>
      <c r="K20" s="16">
        <v>2018</v>
      </c>
      <c r="L20" s="17">
        <v>2019</v>
      </c>
      <c r="M20" s="18">
        <v>2020</v>
      </c>
      <c r="N20" s="18">
        <v>2021</v>
      </c>
      <c r="O20" s="33">
        <v>2022</v>
      </c>
      <c r="P20" s="20">
        <v>2023</v>
      </c>
      <c r="Q20" s="20">
        <v>2024</v>
      </c>
      <c r="R20" s="33">
        <v>2025</v>
      </c>
      <c r="S20" s="7">
        <v>2026</v>
      </c>
      <c r="U20" s="218"/>
    </row>
    <row r="21" spans="3:31" ht="15.75" thickTop="1" x14ac:dyDescent="0.25">
      <c r="C21" s="171" t="s">
        <v>1</v>
      </c>
      <c r="D21" s="156">
        <v>1</v>
      </c>
      <c r="E21" s="6">
        <v>100</v>
      </c>
      <c r="F21" s="6">
        <v>100</v>
      </c>
      <c r="G21" s="6">
        <v>100</v>
      </c>
      <c r="H21" s="6">
        <v>100</v>
      </c>
      <c r="I21" s="6">
        <v>100</v>
      </c>
      <c r="J21" s="6">
        <v>100</v>
      </c>
      <c r="K21" s="6">
        <v>100</v>
      </c>
      <c r="L21" s="6">
        <v>100</v>
      </c>
      <c r="M21" s="6">
        <v>100</v>
      </c>
      <c r="N21" s="6">
        <v>100</v>
      </c>
      <c r="O21" s="6">
        <v>100</v>
      </c>
      <c r="P21" s="6">
        <v>100</v>
      </c>
      <c r="Q21" s="6">
        <v>100</v>
      </c>
      <c r="R21" s="6">
        <v>100</v>
      </c>
      <c r="S21" s="38">
        <v>100</v>
      </c>
      <c r="U21" s="218"/>
    </row>
    <row r="22" spans="3:31" x14ac:dyDescent="0.25">
      <c r="C22" s="171"/>
      <c r="D22" s="156">
        <v>2</v>
      </c>
      <c r="E22" s="4">
        <v>100</v>
      </c>
      <c r="F22" s="4">
        <v>100</v>
      </c>
      <c r="G22" s="4">
        <v>100</v>
      </c>
      <c r="H22" s="4">
        <v>100</v>
      </c>
      <c r="I22" s="4">
        <v>100</v>
      </c>
      <c r="J22" s="4">
        <v>100</v>
      </c>
      <c r="K22" s="4">
        <v>100</v>
      </c>
      <c r="L22" s="4">
        <v>100</v>
      </c>
      <c r="M22" s="4">
        <v>100</v>
      </c>
      <c r="N22" s="4">
        <v>100</v>
      </c>
      <c r="O22" s="4">
        <v>100</v>
      </c>
      <c r="P22" s="4">
        <v>100</v>
      </c>
      <c r="Q22" s="4">
        <v>100</v>
      </c>
      <c r="R22" s="4">
        <v>100</v>
      </c>
      <c r="S22" s="39">
        <v>100</v>
      </c>
      <c r="U22" s="218"/>
    </row>
    <row r="23" spans="3:31" ht="15.75" thickBot="1" x14ac:dyDescent="0.3">
      <c r="C23" s="171"/>
      <c r="D23" s="156">
        <v>3</v>
      </c>
      <c r="E23" s="4">
        <v>100</v>
      </c>
      <c r="F23" s="4">
        <v>100</v>
      </c>
      <c r="G23" s="4">
        <v>100</v>
      </c>
      <c r="H23" s="4">
        <v>100</v>
      </c>
      <c r="I23" s="4">
        <v>100</v>
      </c>
      <c r="J23" s="4">
        <v>100</v>
      </c>
      <c r="K23" s="4">
        <v>100</v>
      </c>
      <c r="L23" s="4">
        <v>100</v>
      </c>
      <c r="M23" s="4">
        <v>100</v>
      </c>
      <c r="N23" s="4">
        <v>100</v>
      </c>
      <c r="O23" s="4">
        <v>100</v>
      </c>
      <c r="P23" s="4">
        <v>100</v>
      </c>
      <c r="Q23" s="4">
        <v>100</v>
      </c>
      <c r="R23" s="4">
        <v>100</v>
      </c>
      <c r="S23" s="39">
        <v>100</v>
      </c>
      <c r="U23" s="218"/>
    </row>
    <row r="24" spans="3:31" ht="16.5" thickTop="1" thickBot="1" x14ac:dyDescent="0.3">
      <c r="C24" s="171"/>
      <c r="D24" s="156">
        <v>4</v>
      </c>
      <c r="E24" s="28">
        <v>40</v>
      </c>
      <c r="F24" s="28">
        <v>40</v>
      </c>
      <c r="G24" s="4">
        <v>95</v>
      </c>
      <c r="H24" s="4">
        <v>95</v>
      </c>
      <c r="I24" s="4">
        <v>95</v>
      </c>
      <c r="J24" s="4">
        <v>95</v>
      </c>
      <c r="K24" s="4">
        <v>95</v>
      </c>
      <c r="L24" s="4">
        <v>97</v>
      </c>
      <c r="M24" s="4">
        <v>100</v>
      </c>
      <c r="N24" s="4">
        <v>100</v>
      </c>
      <c r="O24" s="4">
        <v>100</v>
      </c>
      <c r="P24" s="4">
        <v>100</v>
      </c>
      <c r="Q24" s="4">
        <v>100</v>
      </c>
      <c r="R24" s="4">
        <v>100</v>
      </c>
      <c r="S24" s="39">
        <v>100</v>
      </c>
      <c r="U24" s="218"/>
    </row>
    <row r="25" spans="3:31" ht="16.5" thickTop="1" thickBot="1" x14ac:dyDescent="0.3">
      <c r="C25" s="171"/>
      <c r="D25" s="156">
        <v>5</v>
      </c>
      <c r="E25" s="28">
        <v>20</v>
      </c>
      <c r="F25" s="28">
        <v>20</v>
      </c>
      <c r="G25" s="4">
        <v>75</v>
      </c>
      <c r="H25" s="4">
        <v>75</v>
      </c>
      <c r="I25" s="4">
        <v>75</v>
      </c>
      <c r="J25" s="4">
        <v>75</v>
      </c>
      <c r="K25" s="4">
        <v>75</v>
      </c>
      <c r="L25" s="4">
        <v>77</v>
      </c>
      <c r="M25" s="4">
        <v>77</v>
      </c>
      <c r="N25" s="4">
        <v>77</v>
      </c>
      <c r="O25" s="4">
        <v>90</v>
      </c>
      <c r="P25" s="4">
        <v>85</v>
      </c>
      <c r="Q25" s="4">
        <v>85</v>
      </c>
      <c r="R25" s="4">
        <v>90</v>
      </c>
      <c r="S25" s="39">
        <v>90</v>
      </c>
      <c r="U25" s="218"/>
    </row>
    <row r="26" spans="3:31" ht="16.5" thickTop="1" thickBot="1" x14ac:dyDescent="0.3">
      <c r="C26" s="171"/>
      <c r="D26" s="156">
        <v>6</v>
      </c>
      <c r="E26" s="28">
        <v>10</v>
      </c>
      <c r="F26" s="28">
        <v>10</v>
      </c>
      <c r="G26" s="4">
        <v>50</v>
      </c>
      <c r="H26" s="4">
        <v>50</v>
      </c>
      <c r="I26" s="4">
        <v>50</v>
      </c>
      <c r="J26" s="4">
        <v>50</v>
      </c>
      <c r="K26" s="4">
        <v>50</v>
      </c>
      <c r="L26" s="4">
        <v>52</v>
      </c>
      <c r="M26" s="4">
        <v>52</v>
      </c>
      <c r="N26" s="4">
        <v>52</v>
      </c>
      <c r="O26" s="4">
        <v>75</v>
      </c>
      <c r="P26" s="4">
        <v>53</v>
      </c>
      <c r="Q26" s="4">
        <v>53</v>
      </c>
      <c r="R26" s="4">
        <v>75</v>
      </c>
      <c r="S26" s="39">
        <v>75</v>
      </c>
      <c r="U26" s="218"/>
    </row>
    <row r="27" spans="3:31" ht="15.75" thickTop="1" x14ac:dyDescent="0.25">
      <c r="C27" s="171"/>
      <c r="D27" s="156">
        <v>7</v>
      </c>
      <c r="E27" s="4">
        <v>0</v>
      </c>
      <c r="F27" s="4">
        <v>0</v>
      </c>
      <c r="G27" s="4">
        <v>40</v>
      </c>
      <c r="H27" s="4">
        <v>45</v>
      </c>
      <c r="I27" s="4">
        <v>45</v>
      </c>
      <c r="J27" s="4">
        <v>45</v>
      </c>
      <c r="K27" s="4">
        <v>45</v>
      </c>
      <c r="L27" s="4">
        <v>47</v>
      </c>
      <c r="M27" s="4">
        <v>47</v>
      </c>
      <c r="N27" s="4">
        <v>47</v>
      </c>
      <c r="O27" s="4">
        <v>75</v>
      </c>
      <c r="P27" s="4">
        <v>47</v>
      </c>
      <c r="Q27" s="4">
        <v>47</v>
      </c>
      <c r="R27" s="4">
        <v>75</v>
      </c>
      <c r="S27" s="39">
        <v>75</v>
      </c>
      <c r="U27" s="218"/>
    </row>
    <row r="28" spans="3:31" x14ac:dyDescent="0.25">
      <c r="C28" s="171"/>
      <c r="D28" s="156">
        <v>8</v>
      </c>
      <c r="E28" s="4">
        <v>0</v>
      </c>
      <c r="F28" s="4">
        <v>0</v>
      </c>
      <c r="G28" s="4">
        <v>0</v>
      </c>
      <c r="H28" s="4">
        <v>45</v>
      </c>
      <c r="I28" s="4">
        <v>45</v>
      </c>
      <c r="J28" s="4">
        <v>45</v>
      </c>
      <c r="K28" s="4">
        <v>45</v>
      </c>
      <c r="L28" s="4">
        <v>47</v>
      </c>
      <c r="M28" s="4">
        <v>47</v>
      </c>
      <c r="N28" s="4">
        <v>47</v>
      </c>
      <c r="O28" s="4">
        <v>75</v>
      </c>
      <c r="P28" s="4">
        <v>47</v>
      </c>
      <c r="Q28" s="4">
        <v>47</v>
      </c>
      <c r="R28" s="4">
        <v>75</v>
      </c>
      <c r="S28" s="39">
        <v>75</v>
      </c>
      <c r="U28" s="218"/>
    </row>
    <row r="29" spans="3:31" x14ac:dyDescent="0.25">
      <c r="C29" s="171"/>
      <c r="D29" s="156">
        <v>9</v>
      </c>
      <c r="E29" s="4">
        <v>0</v>
      </c>
      <c r="F29" s="4">
        <v>0</v>
      </c>
      <c r="G29" s="4">
        <v>0</v>
      </c>
      <c r="H29" s="4">
        <v>45</v>
      </c>
      <c r="I29" s="4">
        <v>45</v>
      </c>
      <c r="J29" s="4">
        <v>45</v>
      </c>
      <c r="K29" s="4">
        <v>45</v>
      </c>
      <c r="L29" s="4">
        <v>45</v>
      </c>
      <c r="M29" s="4">
        <v>45</v>
      </c>
      <c r="N29" s="4">
        <v>45</v>
      </c>
      <c r="O29" s="4">
        <v>75</v>
      </c>
      <c r="P29" s="4">
        <v>37</v>
      </c>
      <c r="Q29" s="4">
        <v>37</v>
      </c>
      <c r="R29" s="4">
        <v>75</v>
      </c>
      <c r="S29" s="39">
        <v>75</v>
      </c>
      <c r="U29" s="218"/>
    </row>
    <row r="30" spans="3:31" x14ac:dyDescent="0.25">
      <c r="C30" s="171"/>
      <c r="D30" s="156">
        <v>10</v>
      </c>
      <c r="E30" s="4">
        <v>0</v>
      </c>
      <c r="F30" s="4">
        <v>0</v>
      </c>
      <c r="G30" s="4">
        <v>0</v>
      </c>
      <c r="H30" s="4">
        <v>45</v>
      </c>
      <c r="I30" s="4">
        <v>45</v>
      </c>
      <c r="J30" s="4">
        <v>45</v>
      </c>
      <c r="K30" s="4">
        <v>45</v>
      </c>
      <c r="L30" s="4">
        <v>40</v>
      </c>
      <c r="M30" s="4">
        <v>40</v>
      </c>
      <c r="N30" s="4">
        <v>40</v>
      </c>
      <c r="O30" s="4">
        <v>75</v>
      </c>
      <c r="P30" s="4">
        <v>37</v>
      </c>
      <c r="Q30" s="4">
        <v>37</v>
      </c>
      <c r="R30" s="4">
        <v>75</v>
      </c>
      <c r="S30" s="39">
        <v>75</v>
      </c>
      <c r="U30" s="218"/>
    </row>
    <row r="31" spans="3:31" ht="15.75" thickBot="1" x14ac:dyDescent="0.3">
      <c r="C31" s="172"/>
      <c r="D31" s="157" t="s">
        <v>0</v>
      </c>
      <c r="E31" s="41">
        <v>0</v>
      </c>
      <c r="F31" s="41">
        <v>0</v>
      </c>
      <c r="G31" s="41">
        <v>0</v>
      </c>
      <c r="H31" s="41">
        <v>45</v>
      </c>
      <c r="I31" s="41">
        <v>45</v>
      </c>
      <c r="J31" s="41">
        <v>45</v>
      </c>
      <c r="K31" s="41">
        <v>45</v>
      </c>
      <c r="L31" s="41">
        <v>40</v>
      </c>
      <c r="M31" s="41">
        <v>40</v>
      </c>
      <c r="N31" s="41">
        <v>40</v>
      </c>
      <c r="O31" s="41">
        <v>75</v>
      </c>
      <c r="P31" s="41">
        <v>32</v>
      </c>
      <c r="Q31" s="41">
        <v>22</v>
      </c>
      <c r="R31" s="41">
        <v>75</v>
      </c>
      <c r="S31" s="42">
        <v>75</v>
      </c>
      <c r="U31" s="218"/>
    </row>
    <row r="32" spans="3:31" ht="15.75" thickTop="1" x14ac:dyDescent="0.25">
      <c r="C32" s="127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</row>
    <row r="33" spans="3:31" x14ac:dyDescent="0.25">
      <c r="C33" s="127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</row>
    <row r="34" spans="3:31" x14ac:dyDescent="0.25">
      <c r="C34" s="127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</row>
    <row r="35" spans="3:31" x14ac:dyDescent="0.25">
      <c r="C35" s="127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</row>
    <row r="36" spans="3:31" x14ac:dyDescent="0.25">
      <c r="C36" s="127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</row>
    <row r="37" spans="3:31" x14ac:dyDescent="0.25">
      <c r="C37" s="127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</row>
    <row r="38" spans="3:31" x14ac:dyDescent="0.25">
      <c r="C38" s="127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</row>
    <row r="39" spans="3:31" x14ac:dyDescent="0.25">
      <c r="C39" s="127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</row>
    <row r="40" spans="3:31" x14ac:dyDescent="0.25">
      <c r="C40" s="127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</row>
    <row r="41" spans="3:31" x14ac:dyDescent="0.25">
      <c r="C41" s="127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</row>
    <row r="42" spans="3:31" x14ac:dyDescent="0.25">
      <c r="C42" s="127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</row>
    <row r="43" spans="3:31" x14ac:dyDescent="0.25">
      <c r="C43" s="127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</row>
    <row r="44" spans="3:31" x14ac:dyDescent="0.25">
      <c r="C44" s="127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</row>
    <row r="45" spans="3:31" x14ac:dyDescent="0.25">
      <c r="C45" s="127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</row>
    <row r="46" spans="3:31" x14ac:dyDescent="0.25">
      <c r="C46" s="127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</row>
    <row r="47" spans="3:31" x14ac:dyDescent="0.25">
      <c r="C47" s="127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</row>
    <row r="48" spans="3:31" x14ac:dyDescent="0.25">
      <c r="C48" s="127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</row>
    <row r="49" spans="3:31" x14ac:dyDescent="0.25">
      <c r="C49" s="127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</row>
    <row r="50" spans="3:31" x14ac:dyDescent="0.25">
      <c r="C50" s="127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</row>
    <row r="51" spans="3:31" x14ac:dyDescent="0.25">
      <c r="C51" s="127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</row>
    <row r="52" spans="3:31" x14ac:dyDescent="0.25">
      <c r="C52" s="127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</row>
    <row r="53" spans="3:31" x14ac:dyDescent="0.25">
      <c r="C53" s="127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</row>
    <row r="54" spans="3:31" x14ac:dyDescent="0.25">
      <c r="C54" s="127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</row>
    <row r="55" spans="3:31" x14ac:dyDescent="0.25">
      <c r="C55" s="127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</row>
    <row r="56" spans="3:31" x14ac:dyDescent="0.25">
      <c r="C56" s="127"/>
      <c r="D56" s="159" t="s">
        <v>21</v>
      </c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</row>
    <row r="57" spans="3:31" ht="15.75" thickBot="1" x14ac:dyDescent="0.3">
      <c r="C57" s="127"/>
      <c r="D57" s="2"/>
    </row>
    <row r="58" spans="3:31" ht="16.5" thickTop="1" thickBot="1" x14ac:dyDescent="0.3">
      <c r="C58" s="127"/>
      <c r="D58" s="21"/>
      <c r="E58" s="1" t="s">
        <v>3</v>
      </c>
    </row>
    <row r="59" spans="3:31" ht="16.5" thickTop="1" thickBot="1" x14ac:dyDescent="0.3">
      <c r="C59" s="127"/>
      <c r="D59" s="22"/>
      <c r="E59" s="1" t="s">
        <v>18</v>
      </c>
    </row>
    <row r="60" spans="3:31" ht="16.5" thickTop="1" thickBot="1" x14ac:dyDescent="0.3">
      <c r="C60" s="127"/>
      <c r="D60" s="23"/>
      <c r="E60" s="1" t="s">
        <v>19</v>
      </c>
    </row>
    <row r="61" spans="3:31" ht="16.5" thickTop="1" thickBot="1" x14ac:dyDescent="0.3">
      <c r="C61" s="127"/>
      <c r="D61" s="24" t="s">
        <v>9</v>
      </c>
      <c r="E61" s="1" t="s">
        <v>4</v>
      </c>
    </row>
    <row r="62" spans="3:31" ht="16.5" thickTop="1" thickBot="1" x14ac:dyDescent="0.3">
      <c r="C62" s="127"/>
      <c r="D62" s="25" t="s">
        <v>10</v>
      </c>
      <c r="E62" s="1" t="s">
        <v>181</v>
      </c>
    </row>
    <row r="63" spans="3:31" ht="16.5" thickTop="1" thickBot="1" x14ac:dyDescent="0.3">
      <c r="C63" s="127"/>
      <c r="E63" s="1" t="s">
        <v>171</v>
      </c>
    </row>
    <row r="64" spans="3:31" ht="16.5" thickTop="1" thickBot="1" x14ac:dyDescent="0.3">
      <c r="C64" s="127"/>
      <c r="D64" s="26" t="s">
        <v>11</v>
      </c>
      <c r="E64" s="1" t="s">
        <v>2</v>
      </c>
    </row>
    <row r="65" spans="3:5" ht="16.5" thickTop="1" thickBot="1" x14ac:dyDescent="0.3">
      <c r="C65" s="127"/>
      <c r="D65" s="27" t="s">
        <v>12</v>
      </c>
      <c r="E65" s="1" t="s">
        <v>170</v>
      </c>
    </row>
    <row r="66" spans="3:5" ht="16.5" thickTop="1" thickBot="1" x14ac:dyDescent="0.3">
      <c r="C66" s="127"/>
      <c r="D66" s="2"/>
      <c r="E66" s="1" t="s">
        <v>171</v>
      </c>
    </row>
    <row r="67" spans="3:5" ht="16.5" thickTop="1" thickBot="1" x14ac:dyDescent="0.3">
      <c r="C67" s="127"/>
      <c r="D67" s="26" t="s">
        <v>16</v>
      </c>
      <c r="E67" s="1" t="s">
        <v>17</v>
      </c>
    </row>
    <row r="68" spans="3:5" ht="16.5" thickTop="1" thickBot="1" x14ac:dyDescent="0.3">
      <c r="C68" s="127"/>
      <c r="D68" s="28" t="s">
        <v>13</v>
      </c>
      <c r="E68" s="1" t="s">
        <v>168</v>
      </c>
    </row>
    <row r="69" spans="3:5" ht="16.5" thickTop="1" thickBot="1" x14ac:dyDescent="0.3">
      <c r="C69" s="127"/>
      <c r="D69" s="2"/>
      <c r="E69" s="1" t="s">
        <v>169</v>
      </c>
    </row>
    <row r="70" spans="3:5" ht="15.75" thickTop="1" x14ac:dyDescent="0.25">
      <c r="C70" s="127"/>
      <c r="D70" s="220">
        <v>2014</v>
      </c>
      <c r="E70" s="1" t="s">
        <v>23</v>
      </c>
    </row>
    <row r="71" spans="3:5" x14ac:dyDescent="0.25">
      <c r="C71" s="127"/>
      <c r="D71" s="221"/>
      <c r="E71" s="1" t="s">
        <v>172</v>
      </c>
    </row>
    <row r="72" spans="3:5" ht="15.75" thickBot="1" x14ac:dyDescent="0.3">
      <c r="C72" s="127"/>
      <c r="D72" s="221"/>
      <c r="E72" s="1" t="s">
        <v>173</v>
      </c>
    </row>
    <row r="73" spans="3:5" ht="16.5" thickTop="1" thickBot="1" x14ac:dyDescent="0.3">
      <c r="C73" s="127"/>
      <c r="D73" s="29" t="s">
        <v>15</v>
      </c>
      <c r="E73" s="1" t="s">
        <v>5</v>
      </c>
    </row>
    <row r="74" spans="3:5" ht="16.5" thickTop="1" thickBot="1" x14ac:dyDescent="0.3">
      <c r="C74" s="127"/>
      <c r="D74" s="30">
        <v>2019</v>
      </c>
      <c r="E74" s="1" t="s">
        <v>7</v>
      </c>
    </row>
    <row r="75" spans="3:5" ht="16.5" thickTop="1" thickBot="1" x14ac:dyDescent="0.3">
      <c r="C75" s="127"/>
      <c r="D75" s="31" t="s">
        <v>14</v>
      </c>
      <c r="E75" s="1" t="s">
        <v>8</v>
      </c>
    </row>
    <row r="76" spans="3:5" ht="16.5" thickTop="1" thickBot="1" x14ac:dyDescent="0.3">
      <c r="C76" s="127"/>
      <c r="D76" s="34">
        <v>2022</v>
      </c>
      <c r="E76" s="1" t="s">
        <v>180</v>
      </c>
    </row>
    <row r="77" spans="3:5" ht="16.5" customHeight="1" thickTop="1" thickBot="1" x14ac:dyDescent="0.3">
      <c r="C77" s="127"/>
      <c r="D77" s="2"/>
      <c r="E77" s="1" t="s">
        <v>174</v>
      </c>
    </row>
    <row r="78" spans="3:5" ht="16.5" customHeight="1" thickTop="1" thickBot="1" x14ac:dyDescent="0.3">
      <c r="C78" s="127"/>
      <c r="D78" s="32">
        <v>2023</v>
      </c>
      <c r="E78" s="1" t="s">
        <v>175</v>
      </c>
    </row>
    <row r="79" spans="3:5" ht="16.5" customHeight="1" thickTop="1" thickBot="1" x14ac:dyDescent="0.3">
      <c r="C79" s="127"/>
      <c r="D79" s="2"/>
      <c r="E79" s="1" t="s">
        <v>176</v>
      </c>
    </row>
    <row r="80" spans="3:5" ht="16.5" thickTop="1" thickBot="1" x14ac:dyDescent="0.3">
      <c r="C80" s="127"/>
      <c r="D80" s="32">
        <v>2024</v>
      </c>
      <c r="E80" s="1" t="s">
        <v>182</v>
      </c>
    </row>
    <row r="81" spans="3:21" ht="16.5" thickTop="1" thickBot="1" x14ac:dyDescent="0.3">
      <c r="C81" s="127"/>
      <c r="D81" s="2"/>
      <c r="E81" s="1" t="s">
        <v>183</v>
      </c>
    </row>
    <row r="82" spans="3:21" ht="16.5" thickTop="1" thickBot="1" x14ac:dyDescent="0.3">
      <c r="C82" s="127"/>
      <c r="D82" s="34">
        <v>2025</v>
      </c>
      <c r="E82" s="1" t="s">
        <v>177</v>
      </c>
    </row>
    <row r="83" spans="3:21" ht="16.5" thickTop="1" thickBot="1" x14ac:dyDescent="0.3">
      <c r="C83" s="127"/>
      <c r="E83" s="1" t="s">
        <v>184</v>
      </c>
    </row>
    <row r="84" spans="3:21" ht="16.5" thickTop="1" thickBot="1" x14ac:dyDescent="0.3">
      <c r="C84" s="127"/>
      <c r="D84" s="35">
        <v>2026</v>
      </c>
      <c r="E84" s="1" t="s">
        <v>177</v>
      </c>
    </row>
    <row r="85" spans="3:21" ht="15.75" thickTop="1" x14ac:dyDescent="0.25">
      <c r="C85" s="127"/>
      <c r="E85" s="1" t="s">
        <v>185</v>
      </c>
    </row>
    <row r="86" spans="3:21" x14ac:dyDescent="0.25">
      <c r="C86" s="127"/>
    </row>
    <row r="87" spans="3:21" ht="15.75" thickBot="1" x14ac:dyDescent="0.3">
      <c r="C87" s="127"/>
      <c r="D87" s="129"/>
      <c r="E87" s="222" t="s">
        <v>178</v>
      </c>
    </row>
    <row r="88" spans="3:21" ht="16.5" thickTop="1" thickBot="1" x14ac:dyDescent="0.3">
      <c r="C88" s="127"/>
      <c r="D88" s="28"/>
      <c r="E88" s="222" t="s">
        <v>179</v>
      </c>
    </row>
    <row r="89" spans="3:21" ht="15.75" thickTop="1" x14ac:dyDescent="0.25"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</row>
    <row r="90" spans="3:21" x14ac:dyDescent="0.25"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</row>
    <row r="91" spans="3:21" x14ac:dyDescent="0.25"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</row>
    <row r="92" spans="3:21" x14ac:dyDescent="0.25"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</row>
    <row r="93" spans="3:21" x14ac:dyDescent="0.25"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</row>
    <row r="94" spans="3:21" x14ac:dyDescent="0.25">
      <c r="C94" s="127"/>
      <c r="J94" s="127"/>
    </row>
    <row r="95" spans="3:21" x14ac:dyDescent="0.25">
      <c r="C95" s="127"/>
      <c r="J95" s="127"/>
    </row>
    <row r="96" spans="3:21" x14ac:dyDescent="0.25">
      <c r="C96" s="127"/>
    </row>
    <row r="97" spans="3:28" x14ac:dyDescent="0.25">
      <c r="C97" s="127"/>
    </row>
    <row r="98" spans="3:28" x14ac:dyDescent="0.25">
      <c r="C98" s="127"/>
    </row>
    <row r="110" spans="3:28" x14ac:dyDescent="0.25">
      <c r="AB110" s="1">
        <f>598*6</f>
        <v>3588</v>
      </c>
    </row>
    <row r="111" spans="3:28" x14ac:dyDescent="0.25">
      <c r="AB111" s="1">
        <f>1.2%*50%*AB110</f>
        <v>21.527999999999999</v>
      </c>
    </row>
  </sheetData>
  <mergeCells count="5">
    <mergeCell ref="U19:U31"/>
    <mergeCell ref="C5:C15"/>
    <mergeCell ref="C2:D4"/>
    <mergeCell ref="C18:D20"/>
    <mergeCell ref="C21:C31"/>
  </mergeCells>
  <phoneticPr fontId="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28BB-1735-44A5-8B65-3B3C4DF4BECA}">
  <dimension ref="E4:AW36"/>
  <sheetViews>
    <sheetView workbookViewId="0">
      <selection activeCell="N24" sqref="N24"/>
    </sheetView>
  </sheetViews>
  <sheetFormatPr defaultRowHeight="15" x14ac:dyDescent="0.25"/>
  <cols>
    <col min="8" max="10" width="14" customWidth="1"/>
  </cols>
  <sheetData>
    <row r="4" spans="5:49" x14ac:dyDescent="0.25">
      <c r="H4" s="216" t="s">
        <v>106</v>
      </c>
      <c r="I4" s="217"/>
      <c r="J4" s="217"/>
    </row>
    <row r="5" spans="5:49" ht="22.5" thickBot="1" x14ac:dyDescent="0.3">
      <c r="H5" s="214" t="s">
        <v>105</v>
      </c>
      <c r="I5" s="215"/>
      <c r="J5" s="215"/>
    </row>
    <row r="6" spans="5:49" ht="15.75" thickBot="1" x14ac:dyDescent="0.3">
      <c r="H6" s="118">
        <v>2025</v>
      </c>
      <c r="I6" s="121">
        <v>603.4</v>
      </c>
      <c r="J6" s="119">
        <v>7844.2</v>
      </c>
      <c r="Q6" s="123">
        <v>323.53442443460881</v>
      </c>
      <c r="R6">
        <f>4*Q6</f>
        <v>1294.1376977384352</v>
      </c>
      <c r="S6" s="123">
        <v>603.4</v>
      </c>
      <c r="T6" s="123">
        <v>598.61</v>
      </c>
      <c r="U6" s="123">
        <v>563.74</v>
      </c>
      <c r="V6" s="123">
        <v>524.34</v>
      </c>
      <c r="W6" s="123">
        <v>515.58000000000004</v>
      </c>
      <c r="X6" s="123">
        <v>515.58000000000004</v>
      </c>
      <c r="Y6" s="123">
        <v>513.01</v>
      </c>
      <c r="Z6" s="123">
        <v>507.42</v>
      </c>
      <c r="AA6" s="123">
        <v>501.89</v>
      </c>
      <c r="AB6" s="123">
        <v>501.89</v>
      </c>
      <c r="AC6" s="123">
        <v>501.89</v>
      </c>
      <c r="AD6" s="123">
        <v>500.88</v>
      </c>
      <c r="AE6" s="123">
        <v>495.43</v>
      </c>
      <c r="AF6" s="123">
        <v>481</v>
      </c>
      <c r="AG6" s="123">
        <v>468.35</v>
      </c>
      <c r="AH6" s="123">
        <v>460.97</v>
      </c>
      <c r="AI6" s="123">
        <v>457.76</v>
      </c>
      <c r="AJ6" s="123">
        <v>443.56</v>
      </c>
      <c r="AK6" s="123">
        <v>436.14</v>
      </c>
      <c r="AL6" s="123">
        <v>427.58</v>
      </c>
      <c r="AM6" s="123">
        <v>420.43</v>
      </c>
      <c r="AN6" s="123">
        <v>412.18</v>
      </c>
      <c r="AO6" s="123">
        <v>402.12</v>
      </c>
      <c r="AP6" s="123">
        <v>392.69</v>
      </c>
      <c r="AQ6" s="123">
        <v>382.35886524090131</v>
      </c>
      <c r="AR6" s="123">
        <v>372.67529838297344</v>
      </c>
      <c r="AS6" s="123">
        <v>366.81351257830778</v>
      </c>
      <c r="AT6" s="123">
        <v>360.3319784947347</v>
      </c>
      <c r="AU6" s="123">
        <v>354.31525562034221</v>
      </c>
      <c r="AV6" s="123">
        <v>341.01649046878794</v>
      </c>
      <c r="AW6" s="123">
        <v>323.53442443460881</v>
      </c>
    </row>
    <row r="7" spans="5:49" ht="15.75" thickBot="1" x14ac:dyDescent="0.3">
      <c r="E7">
        <f>4*I7</f>
        <v>2394.44</v>
      </c>
      <c r="H7" s="118">
        <v>2024</v>
      </c>
      <c r="I7" s="121">
        <v>598.61</v>
      </c>
      <c r="J7" s="119">
        <v>7781.93</v>
      </c>
      <c r="L7" s="122">
        <f>(I6-I7)/I7</f>
        <v>8.0018710011526099E-3</v>
      </c>
      <c r="Q7" s="123">
        <v>341.01649046878794</v>
      </c>
      <c r="R7">
        <f t="shared" ref="R7:R36" si="0">4*Q7</f>
        <v>1364.0659618751517</v>
      </c>
    </row>
    <row r="8" spans="5:49" ht="15.75" thickBot="1" x14ac:dyDescent="0.3">
      <c r="H8" s="118">
        <v>2023</v>
      </c>
      <c r="I8" s="121">
        <v>563.74</v>
      </c>
      <c r="J8" s="119">
        <v>7328.62</v>
      </c>
      <c r="L8" s="122">
        <f t="shared" ref="L8:L29" si="1">(I7-I8)/I8</f>
        <v>6.1854755738460998E-2</v>
      </c>
      <c r="Q8" s="123">
        <v>354.31525562034221</v>
      </c>
      <c r="R8">
        <f t="shared" si="0"/>
        <v>1417.2610224813689</v>
      </c>
    </row>
    <row r="9" spans="5:49" ht="15.75" thickBot="1" x14ac:dyDescent="0.3">
      <c r="H9" s="118">
        <v>2022</v>
      </c>
      <c r="I9" s="121">
        <v>524.34</v>
      </c>
      <c r="J9" s="119">
        <v>6816.42</v>
      </c>
      <c r="L9" s="122">
        <f t="shared" si="1"/>
        <v>7.5142083381012276E-2</v>
      </c>
      <c r="Q9" s="123">
        <v>360.3319784947347</v>
      </c>
      <c r="R9">
        <f t="shared" si="0"/>
        <v>1441.3279139789388</v>
      </c>
    </row>
    <row r="10" spans="5:49" ht="15.75" thickBot="1" x14ac:dyDescent="0.3">
      <c r="H10" s="118">
        <v>2021</v>
      </c>
      <c r="I10" s="121">
        <v>515.58000000000004</v>
      </c>
      <c r="J10" s="119">
        <v>6702.54</v>
      </c>
      <c r="L10" s="122">
        <f t="shared" si="1"/>
        <v>1.6990573722797608E-2</v>
      </c>
      <c r="Q10" s="123">
        <v>366.81351257830778</v>
      </c>
      <c r="R10">
        <f t="shared" si="0"/>
        <v>1467.2540503132311</v>
      </c>
    </row>
    <row r="11" spans="5:49" ht="15.75" thickBot="1" x14ac:dyDescent="0.3">
      <c r="H11" s="118">
        <v>2020</v>
      </c>
      <c r="I11" s="121">
        <v>515.58000000000004</v>
      </c>
      <c r="J11" s="119">
        <v>6702.54</v>
      </c>
      <c r="L11" s="122">
        <f t="shared" si="1"/>
        <v>0</v>
      </c>
      <c r="Q11" s="123">
        <v>372.67529838297344</v>
      </c>
      <c r="R11">
        <f t="shared" si="0"/>
        <v>1490.7011935318938</v>
      </c>
    </row>
    <row r="12" spans="5:49" ht="15.75" thickBot="1" x14ac:dyDescent="0.3">
      <c r="H12" s="118">
        <v>2019</v>
      </c>
      <c r="I12" s="121">
        <v>513.01</v>
      </c>
      <c r="J12" s="119">
        <v>6669.13</v>
      </c>
      <c r="L12" s="122">
        <f t="shared" si="1"/>
        <v>5.0096489347187193E-3</v>
      </c>
      <c r="Q12" s="123">
        <v>382.35886524090131</v>
      </c>
      <c r="R12">
        <f t="shared" si="0"/>
        <v>1529.4354609636052</v>
      </c>
    </row>
    <row r="13" spans="5:49" ht="15.75" thickBot="1" x14ac:dyDescent="0.3">
      <c r="H13" s="118">
        <v>2018</v>
      </c>
      <c r="I13" s="121">
        <v>507.42</v>
      </c>
      <c r="J13" s="119">
        <v>6596.46</v>
      </c>
      <c r="L13" s="122">
        <f t="shared" si="1"/>
        <v>1.1016514918607809E-2</v>
      </c>
      <c r="Q13" s="123">
        <v>392.69</v>
      </c>
      <c r="R13">
        <f t="shared" si="0"/>
        <v>1570.76</v>
      </c>
    </row>
    <row r="14" spans="5:49" ht="15.75" thickBot="1" x14ac:dyDescent="0.3">
      <c r="H14" s="118">
        <v>2017</v>
      </c>
      <c r="I14" s="121">
        <v>501.89</v>
      </c>
      <c r="J14" s="119">
        <v>6524.57</v>
      </c>
      <c r="L14" s="122">
        <f t="shared" si="1"/>
        <v>1.1018350634601267E-2</v>
      </c>
      <c r="Q14" s="123">
        <v>402.12</v>
      </c>
      <c r="R14">
        <f t="shared" si="0"/>
        <v>1608.48</v>
      </c>
    </row>
    <row r="15" spans="5:49" ht="15.75" thickBot="1" x14ac:dyDescent="0.3">
      <c r="H15" s="118">
        <v>2016</v>
      </c>
      <c r="I15" s="121">
        <v>501.89</v>
      </c>
      <c r="J15" s="119">
        <v>6524.57</v>
      </c>
      <c r="L15" s="122">
        <f t="shared" si="1"/>
        <v>0</v>
      </c>
      <c r="Q15" s="123">
        <v>412.18</v>
      </c>
      <c r="R15">
        <f t="shared" si="0"/>
        <v>1648.72</v>
      </c>
    </row>
    <row r="16" spans="5:49" ht="15.75" thickBot="1" x14ac:dyDescent="0.3">
      <c r="H16" s="118">
        <v>2015</v>
      </c>
      <c r="I16" s="121">
        <v>501.89</v>
      </c>
      <c r="J16" s="119">
        <v>6524.57</v>
      </c>
      <c r="L16" s="122">
        <f t="shared" si="1"/>
        <v>0</v>
      </c>
      <c r="Q16" s="123">
        <v>420.43</v>
      </c>
      <c r="R16">
        <f t="shared" si="0"/>
        <v>1681.72</v>
      </c>
    </row>
    <row r="17" spans="8:18" ht="15.75" thickBot="1" x14ac:dyDescent="0.3">
      <c r="H17" s="118">
        <v>2014</v>
      </c>
      <c r="I17" s="121">
        <v>500.88</v>
      </c>
      <c r="J17" s="119">
        <v>6511.44</v>
      </c>
      <c r="L17" s="122">
        <f t="shared" si="1"/>
        <v>2.0164510461587425E-3</v>
      </c>
      <c r="Q17" s="123">
        <v>427.58</v>
      </c>
      <c r="R17">
        <f t="shared" si="0"/>
        <v>1710.32</v>
      </c>
    </row>
    <row r="18" spans="8:18" ht="15.75" thickBot="1" x14ac:dyDescent="0.3">
      <c r="H18" s="118">
        <v>2013</v>
      </c>
      <c r="I18" s="121">
        <v>495.43</v>
      </c>
      <c r="J18" s="119">
        <v>6440.59</v>
      </c>
      <c r="L18" s="122">
        <f t="shared" si="1"/>
        <v>1.1000544981127482E-2</v>
      </c>
      <c r="Q18" s="123">
        <v>436.14</v>
      </c>
      <c r="R18">
        <f t="shared" si="0"/>
        <v>1744.56</v>
      </c>
    </row>
    <row r="19" spans="8:18" ht="15.75" thickBot="1" x14ac:dyDescent="0.3">
      <c r="H19" s="118">
        <v>2012</v>
      </c>
      <c r="I19" s="121">
        <v>481</v>
      </c>
      <c r="J19" s="119">
        <v>6253</v>
      </c>
      <c r="L19" s="122">
        <f t="shared" si="1"/>
        <v>3.0000000000000013E-2</v>
      </c>
      <c r="Q19" s="123">
        <v>443.56</v>
      </c>
      <c r="R19">
        <f t="shared" si="0"/>
        <v>1774.24</v>
      </c>
    </row>
    <row r="20" spans="8:18" ht="15.75" thickBot="1" x14ac:dyDescent="0.3">
      <c r="H20" s="118">
        <v>2011</v>
      </c>
      <c r="I20" s="121">
        <v>468.35</v>
      </c>
      <c r="J20" s="119">
        <v>6088.55</v>
      </c>
      <c r="L20" s="122">
        <f t="shared" si="1"/>
        <v>2.7009714956763055E-2</v>
      </c>
      <c r="Q20" s="123">
        <v>457.76</v>
      </c>
      <c r="R20">
        <f t="shared" si="0"/>
        <v>1831.04</v>
      </c>
    </row>
    <row r="21" spans="8:18" ht="15.75" thickBot="1" x14ac:dyDescent="0.3">
      <c r="H21" s="118">
        <v>2010</v>
      </c>
      <c r="I21" s="121">
        <v>460.97</v>
      </c>
      <c r="J21" s="119">
        <v>5992.61</v>
      </c>
      <c r="L21" s="122">
        <f t="shared" si="1"/>
        <v>1.6009718636787632E-2</v>
      </c>
      <c r="Q21" s="123">
        <v>460.97</v>
      </c>
      <c r="R21">
        <f t="shared" si="0"/>
        <v>1843.88</v>
      </c>
    </row>
    <row r="22" spans="8:18" ht="15.75" thickBot="1" x14ac:dyDescent="0.3">
      <c r="H22" s="118">
        <v>2009</v>
      </c>
      <c r="I22" s="121">
        <v>457.76</v>
      </c>
      <c r="J22" s="119">
        <v>5950.88</v>
      </c>
      <c r="L22" s="122">
        <f t="shared" si="1"/>
        <v>7.0124082488641128E-3</v>
      </c>
      <c r="Q22" s="123">
        <v>468.35</v>
      </c>
      <c r="R22">
        <f t="shared" si="0"/>
        <v>1873.4</v>
      </c>
    </row>
    <row r="23" spans="8:18" ht="15.75" thickBot="1" x14ac:dyDescent="0.3">
      <c r="H23" s="118">
        <v>2008</v>
      </c>
      <c r="I23" s="121">
        <v>443.56</v>
      </c>
      <c r="J23" s="119">
        <v>5766.28</v>
      </c>
      <c r="L23" s="122">
        <f t="shared" si="1"/>
        <v>3.2013707277482165E-2</v>
      </c>
      <c r="Q23" s="123">
        <v>481</v>
      </c>
      <c r="R23">
        <f t="shared" si="0"/>
        <v>1924</v>
      </c>
    </row>
    <row r="24" spans="8:18" ht="15.75" thickBot="1" x14ac:dyDescent="0.3">
      <c r="H24" s="118">
        <v>2007</v>
      </c>
      <c r="I24" s="121">
        <v>436.14</v>
      </c>
      <c r="J24" s="119">
        <v>5669.82</v>
      </c>
      <c r="L24" s="122">
        <f t="shared" si="1"/>
        <v>1.701288577062415E-2</v>
      </c>
      <c r="Q24" s="123">
        <v>495.43</v>
      </c>
      <c r="R24">
        <f t="shared" si="0"/>
        <v>1981.72</v>
      </c>
    </row>
    <row r="25" spans="8:18" ht="15.75" thickBot="1" x14ac:dyDescent="0.3">
      <c r="H25" s="118">
        <v>2006</v>
      </c>
      <c r="I25" s="121">
        <v>427.58</v>
      </c>
      <c r="J25" s="119">
        <v>5558.84</v>
      </c>
      <c r="L25" s="122">
        <f t="shared" si="1"/>
        <v>2.0019645446466165E-2</v>
      </c>
      <c r="Q25" s="123">
        <v>500.88</v>
      </c>
      <c r="R25">
        <f t="shared" si="0"/>
        <v>2003.52</v>
      </c>
    </row>
    <row r="26" spans="8:18" ht="15.75" thickBot="1" x14ac:dyDescent="0.3">
      <c r="H26" s="118">
        <v>2005</v>
      </c>
      <c r="I26" s="121">
        <v>420.43</v>
      </c>
      <c r="J26" s="119">
        <v>5465.59</v>
      </c>
      <c r="L26" s="122">
        <f t="shared" si="1"/>
        <v>1.7006398211354988E-2</v>
      </c>
      <c r="Q26" s="123">
        <v>501.89</v>
      </c>
      <c r="R26">
        <f t="shared" si="0"/>
        <v>2007.56</v>
      </c>
    </row>
    <row r="27" spans="8:18" ht="15.75" thickBot="1" x14ac:dyDescent="0.3">
      <c r="H27" s="118">
        <v>2004</v>
      </c>
      <c r="I27" s="121">
        <v>412.18</v>
      </c>
      <c r="J27" s="119">
        <v>5358.34</v>
      </c>
      <c r="L27" s="122">
        <f t="shared" si="1"/>
        <v>2.0015527196855742E-2</v>
      </c>
      <c r="Q27" s="123">
        <v>501.89</v>
      </c>
      <c r="R27">
        <f t="shared" si="0"/>
        <v>2007.56</v>
      </c>
    </row>
    <row r="28" spans="8:18" ht="15.75" thickBot="1" x14ac:dyDescent="0.3">
      <c r="H28" s="118">
        <v>2003</v>
      </c>
      <c r="I28" s="121">
        <v>402.12</v>
      </c>
      <c r="J28" s="119">
        <v>5227.5600000000004</v>
      </c>
      <c r="L28" s="122">
        <f t="shared" si="1"/>
        <v>2.5017407738983394E-2</v>
      </c>
      <c r="Q28" s="123">
        <v>501.89</v>
      </c>
      <c r="R28">
        <f t="shared" si="0"/>
        <v>2007.56</v>
      </c>
    </row>
    <row r="29" spans="8:18" ht="15.75" thickBot="1" x14ac:dyDescent="0.3">
      <c r="H29" s="118">
        <v>2002</v>
      </c>
      <c r="I29" s="121">
        <v>392.69</v>
      </c>
      <c r="J29" s="119">
        <v>5104.97</v>
      </c>
      <c r="L29" s="122">
        <f t="shared" si="1"/>
        <v>2.4013853166619997E-2</v>
      </c>
      <c r="Q29" s="123">
        <v>507.42</v>
      </c>
      <c r="R29">
        <f t="shared" si="0"/>
        <v>2029.68</v>
      </c>
    </row>
    <row r="30" spans="8:18" ht="15.75" thickBot="1" x14ac:dyDescent="0.3">
      <c r="H30" s="118">
        <v>2001</v>
      </c>
      <c r="I30" s="121">
        <v>740350</v>
      </c>
      <c r="J30" s="120">
        <v>9605700</v>
      </c>
      <c r="Q30" s="123">
        <v>513.01</v>
      </c>
      <c r="R30">
        <f t="shared" si="0"/>
        <v>2052.04</v>
      </c>
    </row>
    <row r="31" spans="8:18" ht="15.75" thickBot="1" x14ac:dyDescent="0.3">
      <c r="H31" s="118">
        <v>2000</v>
      </c>
      <c r="I31" s="121">
        <v>721600</v>
      </c>
      <c r="J31" s="120">
        <v>9380800</v>
      </c>
      <c r="Q31" s="123">
        <v>515.58000000000004</v>
      </c>
      <c r="R31">
        <f t="shared" si="0"/>
        <v>2062.3200000000002</v>
      </c>
    </row>
    <row r="32" spans="8:18" ht="15.75" thickBot="1" x14ac:dyDescent="0.3">
      <c r="H32" s="118">
        <v>1999</v>
      </c>
      <c r="I32" s="121">
        <v>710250</v>
      </c>
      <c r="J32" s="120">
        <v>9224150</v>
      </c>
      <c r="Q32" s="123">
        <v>515.58000000000004</v>
      </c>
      <c r="R32">
        <f t="shared" si="0"/>
        <v>2062.3200000000002</v>
      </c>
    </row>
    <row r="33" spans="8:18" ht="15.75" thickBot="1" x14ac:dyDescent="0.3">
      <c r="H33" s="118">
        <v>1998</v>
      </c>
      <c r="I33" s="121">
        <v>697700</v>
      </c>
      <c r="J33" s="120">
        <v>9070100</v>
      </c>
      <c r="Q33" s="123">
        <v>524.34</v>
      </c>
      <c r="R33">
        <f t="shared" si="0"/>
        <v>2097.36</v>
      </c>
    </row>
    <row r="34" spans="8:18" ht="15.75" thickBot="1" x14ac:dyDescent="0.3">
      <c r="H34" s="118">
        <v>1997</v>
      </c>
      <c r="I34" s="121">
        <v>686050</v>
      </c>
      <c r="J34" s="120">
        <v>8918650</v>
      </c>
      <c r="Q34" s="123">
        <v>563.74</v>
      </c>
      <c r="R34">
        <f t="shared" si="0"/>
        <v>2254.96</v>
      </c>
    </row>
    <row r="35" spans="8:18" ht="15.75" thickBot="1" x14ac:dyDescent="0.3">
      <c r="H35" s="118">
        <v>1996</v>
      </c>
      <c r="I35" s="121">
        <v>660300</v>
      </c>
      <c r="J35" s="120">
        <v>8583900</v>
      </c>
      <c r="Q35" s="123">
        <v>598.61</v>
      </c>
      <c r="R35">
        <f t="shared" si="0"/>
        <v>2394.44</v>
      </c>
    </row>
    <row r="36" spans="8:18" ht="15.75" thickBot="1" x14ac:dyDescent="0.3">
      <c r="H36" s="118">
        <v>1995</v>
      </c>
      <c r="I36" s="121">
        <v>626450</v>
      </c>
      <c r="J36" s="120">
        <v>8143850</v>
      </c>
      <c r="Q36" s="123">
        <v>603.4</v>
      </c>
      <c r="R36">
        <f t="shared" si="0"/>
        <v>2413.6</v>
      </c>
    </row>
  </sheetData>
  <sortState xmlns:xlrd2="http://schemas.microsoft.com/office/spreadsheetml/2017/richdata2" ref="Q6:Q36">
    <sortCondition ref="Q6:Q36"/>
  </sortState>
  <mergeCells count="2">
    <mergeCell ref="H5:J5"/>
    <mergeCell ref="H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9DBC-B294-4D7D-9707-240EA2CE8220}">
  <sheetPr>
    <tabColor theme="1"/>
  </sheetPr>
  <dimension ref="L31:P40"/>
  <sheetViews>
    <sheetView topLeftCell="A16" workbookViewId="0">
      <selection activeCell="N24" sqref="N24"/>
    </sheetView>
  </sheetViews>
  <sheetFormatPr defaultRowHeight="15" x14ac:dyDescent="0.25"/>
  <cols>
    <col min="12" max="12" width="18.42578125" customWidth="1"/>
  </cols>
  <sheetData>
    <row r="31" spans="12:16" x14ac:dyDescent="0.25">
      <c r="L31" t="s">
        <v>108</v>
      </c>
    </row>
    <row r="32" spans="12:16" x14ac:dyDescent="0.25">
      <c r="L32">
        <v>1995</v>
      </c>
      <c r="N32">
        <f>L32+N33</f>
        <v>2012</v>
      </c>
      <c r="O32">
        <f>L32+N34</f>
        <v>2017</v>
      </c>
      <c r="P32">
        <v>2022</v>
      </c>
    </row>
    <row r="33" spans="12:14" x14ac:dyDescent="0.25">
      <c r="L33">
        <v>18</v>
      </c>
      <c r="M33">
        <v>35</v>
      </c>
      <c r="N33">
        <f>M33-L33</f>
        <v>17</v>
      </c>
    </row>
    <row r="34" spans="12:14" x14ac:dyDescent="0.25">
      <c r="M34">
        <v>40</v>
      </c>
      <c r="N34">
        <f>M34-L33</f>
        <v>22</v>
      </c>
    </row>
    <row r="40" spans="12:14" x14ac:dyDescent="0.25">
      <c r="L40" s="143">
        <v>2192182</v>
      </c>
      <c r="N40">
        <f>1.3%*L40</f>
        <v>28498.366000000002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4FAC-F6FC-4BDB-9056-06E1893D7A5A}">
  <sheetPr>
    <tabColor theme="1" tint="0.499984740745262"/>
  </sheetPr>
  <dimension ref="A1:HC14"/>
  <sheetViews>
    <sheetView workbookViewId="0">
      <selection activeCell="N24" sqref="N24"/>
    </sheetView>
  </sheetViews>
  <sheetFormatPr defaultRowHeight="15" x14ac:dyDescent="0.25"/>
  <cols>
    <col min="2" max="121" width="13.140625" customWidth="1"/>
  </cols>
  <sheetData>
    <row r="1" spans="1:211" x14ac:dyDescent="0.25">
      <c r="A1" t="s">
        <v>109</v>
      </c>
    </row>
    <row r="2" spans="1:211" x14ac:dyDescent="0.25">
      <c r="A2" t="s">
        <v>55</v>
      </c>
    </row>
    <row r="3" spans="1:211" x14ac:dyDescent="0.25">
      <c r="A3" t="s">
        <v>110</v>
      </c>
      <c r="B3" t="s">
        <v>94</v>
      </c>
      <c r="C3" t="s">
        <v>111</v>
      </c>
      <c r="D3" t="s">
        <v>112</v>
      </c>
      <c r="E3" t="s">
        <v>113</v>
      </c>
      <c r="F3" t="s">
        <v>114</v>
      </c>
      <c r="G3" t="s">
        <v>115</v>
      </c>
      <c r="H3" t="s">
        <v>116</v>
      </c>
      <c r="I3" t="s">
        <v>117</v>
      </c>
      <c r="J3" t="s">
        <v>118</v>
      </c>
      <c r="K3" t="s">
        <v>119</v>
      </c>
      <c r="L3" t="s">
        <v>120</v>
      </c>
      <c r="M3" t="s">
        <v>121</v>
      </c>
      <c r="N3" t="s">
        <v>122</v>
      </c>
      <c r="O3" t="s">
        <v>123</v>
      </c>
      <c r="P3" t="s">
        <v>124</v>
      </c>
      <c r="Q3" t="s">
        <v>125</v>
      </c>
      <c r="R3" t="s">
        <v>126</v>
      </c>
      <c r="S3" t="s">
        <v>127</v>
      </c>
      <c r="T3" t="s">
        <v>128</v>
      </c>
      <c r="U3" t="s">
        <v>129</v>
      </c>
      <c r="V3" t="s">
        <v>130</v>
      </c>
      <c r="W3" t="s">
        <v>131</v>
      </c>
      <c r="X3" t="s">
        <v>132</v>
      </c>
      <c r="Y3" t="s">
        <v>133</v>
      </c>
      <c r="Z3" t="s">
        <v>134</v>
      </c>
      <c r="AA3" t="s">
        <v>135</v>
      </c>
      <c r="AB3" t="s">
        <v>136</v>
      </c>
      <c r="AC3" t="s">
        <v>137</v>
      </c>
      <c r="AD3" t="s">
        <v>138</v>
      </c>
      <c r="AE3" t="s">
        <v>139</v>
      </c>
      <c r="AF3" t="s">
        <v>140</v>
      </c>
      <c r="AG3" t="s">
        <v>141</v>
      </c>
    </row>
    <row r="4" spans="1:211" x14ac:dyDescent="0.25">
      <c r="A4" t="s">
        <v>151</v>
      </c>
    </row>
    <row r="5" spans="1:211" x14ac:dyDescent="0.25">
      <c r="A5" t="s">
        <v>57</v>
      </c>
      <c r="B5" t="s">
        <v>59</v>
      </c>
    </row>
    <row r="6" spans="1:211" x14ac:dyDescent="0.25">
      <c r="B6">
        <v>1995</v>
      </c>
      <c r="C6" t="s">
        <v>50</v>
      </c>
      <c r="D6" t="s">
        <v>50</v>
      </c>
      <c r="E6" t="s">
        <v>50</v>
      </c>
      <c r="F6">
        <v>1996</v>
      </c>
      <c r="G6" t="s">
        <v>50</v>
      </c>
      <c r="H6" t="s">
        <v>50</v>
      </c>
      <c r="I6" t="s">
        <v>50</v>
      </c>
      <c r="J6">
        <v>1997</v>
      </c>
      <c r="K6" t="s">
        <v>50</v>
      </c>
      <c r="L6" t="s">
        <v>50</v>
      </c>
      <c r="M6" t="s">
        <v>50</v>
      </c>
      <c r="N6">
        <v>1998</v>
      </c>
      <c r="O6" t="s">
        <v>50</v>
      </c>
      <c r="P6" t="s">
        <v>50</v>
      </c>
      <c r="Q6" t="s">
        <v>50</v>
      </c>
      <c r="R6">
        <v>1999</v>
      </c>
      <c r="S6" t="s">
        <v>50</v>
      </c>
      <c r="T6" t="s">
        <v>50</v>
      </c>
      <c r="U6" t="s">
        <v>50</v>
      </c>
      <c r="V6">
        <v>2000</v>
      </c>
      <c r="W6" t="s">
        <v>50</v>
      </c>
      <c r="X6" t="s">
        <v>50</v>
      </c>
      <c r="Y6" t="s">
        <v>50</v>
      </c>
      <c r="Z6">
        <v>2001</v>
      </c>
      <c r="AA6" t="s">
        <v>50</v>
      </c>
      <c r="AB6" t="s">
        <v>50</v>
      </c>
      <c r="AC6" t="s">
        <v>50</v>
      </c>
      <c r="AD6">
        <v>2002</v>
      </c>
      <c r="AE6" t="s">
        <v>50</v>
      </c>
      <c r="AF6" t="s">
        <v>50</v>
      </c>
      <c r="AG6" t="s">
        <v>50</v>
      </c>
      <c r="AH6">
        <v>2003</v>
      </c>
      <c r="AI6" t="s">
        <v>50</v>
      </c>
      <c r="AJ6" t="s">
        <v>50</v>
      </c>
      <c r="AK6" t="s">
        <v>50</v>
      </c>
      <c r="AL6">
        <v>2004</v>
      </c>
      <c r="AM6" t="s">
        <v>50</v>
      </c>
      <c r="AN6" t="s">
        <v>50</v>
      </c>
      <c r="AO6" t="s">
        <v>50</v>
      </c>
      <c r="AP6">
        <v>2005</v>
      </c>
      <c r="AQ6" t="s">
        <v>50</v>
      </c>
      <c r="AR6" t="s">
        <v>50</v>
      </c>
      <c r="AS6" t="s">
        <v>50</v>
      </c>
      <c r="AT6">
        <v>2006</v>
      </c>
      <c r="AU6" t="s">
        <v>50</v>
      </c>
      <c r="AV6" t="s">
        <v>50</v>
      </c>
      <c r="AW6" t="s">
        <v>50</v>
      </c>
      <c r="AX6">
        <v>2007</v>
      </c>
      <c r="AY6" t="s">
        <v>50</v>
      </c>
      <c r="AZ6" t="s">
        <v>50</v>
      </c>
      <c r="BA6" t="s">
        <v>50</v>
      </c>
      <c r="BB6">
        <v>2008</v>
      </c>
      <c r="BC6" t="s">
        <v>50</v>
      </c>
      <c r="BD6" t="s">
        <v>50</v>
      </c>
      <c r="BE6" t="s">
        <v>50</v>
      </c>
      <c r="BF6">
        <v>2009</v>
      </c>
      <c r="BG6" t="s">
        <v>50</v>
      </c>
      <c r="BH6" t="s">
        <v>50</v>
      </c>
      <c r="BI6" t="s">
        <v>50</v>
      </c>
      <c r="BJ6">
        <v>2010</v>
      </c>
      <c r="BK6" t="s">
        <v>50</v>
      </c>
      <c r="BL6" t="s">
        <v>50</v>
      </c>
      <c r="BM6" t="s">
        <v>50</v>
      </c>
      <c r="BN6">
        <v>2011</v>
      </c>
      <c r="BO6" t="s">
        <v>50</v>
      </c>
      <c r="BP6" t="s">
        <v>50</v>
      </c>
      <c r="BQ6" t="s">
        <v>50</v>
      </c>
      <c r="BR6">
        <v>2012</v>
      </c>
      <c r="BS6" t="s">
        <v>50</v>
      </c>
      <c r="BT6" t="s">
        <v>50</v>
      </c>
      <c r="BU6" t="s">
        <v>50</v>
      </c>
      <c r="BV6">
        <v>2013</v>
      </c>
      <c r="BW6" t="s">
        <v>50</v>
      </c>
      <c r="BX6" t="s">
        <v>50</v>
      </c>
      <c r="BY6" t="s">
        <v>50</v>
      </c>
      <c r="BZ6">
        <v>2014</v>
      </c>
      <c r="CA6" t="s">
        <v>50</v>
      </c>
      <c r="CB6" t="s">
        <v>50</v>
      </c>
      <c r="CC6" t="s">
        <v>50</v>
      </c>
      <c r="CD6">
        <v>2015</v>
      </c>
      <c r="CE6" t="s">
        <v>50</v>
      </c>
      <c r="CF6" t="s">
        <v>50</v>
      </c>
      <c r="CG6" t="s">
        <v>50</v>
      </c>
      <c r="CH6">
        <v>2016</v>
      </c>
      <c r="CI6" t="s">
        <v>50</v>
      </c>
      <c r="CJ6" t="s">
        <v>50</v>
      </c>
      <c r="CK6" t="s">
        <v>50</v>
      </c>
      <c r="CL6">
        <v>2017</v>
      </c>
      <c r="CM6" t="s">
        <v>50</v>
      </c>
      <c r="CN6" t="s">
        <v>50</v>
      </c>
      <c r="CO6" t="s">
        <v>50</v>
      </c>
      <c r="CP6">
        <v>2018</v>
      </c>
      <c r="CQ6" t="s">
        <v>50</v>
      </c>
      <c r="CR6" t="s">
        <v>50</v>
      </c>
      <c r="CS6" t="s">
        <v>50</v>
      </c>
      <c r="CT6">
        <v>2019</v>
      </c>
      <c r="CU6" t="s">
        <v>50</v>
      </c>
      <c r="CV6" t="s">
        <v>50</v>
      </c>
      <c r="CW6" t="s">
        <v>50</v>
      </c>
      <c r="CX6">
        <v>2020</v>
      </c>
      <c r="CY6" t="s">
        <v>50</v>
      </c>
      <c r="CZ6" t="s">
        <v>50</v>
      </c>
      <c r="DA6" t="s">
        <v>50</v>
      </c>
      <c r="DB6">
        <v>2021</v>
      </c>
      <c r="DC6" t="s">
        <v>50</v>
      </c>
      <c r="DD6" t="s">
        <v>50</v>
      </c>
      <c r="DE6" t="s">
        <v>50</v>
      </c>
      <c r="DF6">
        <v>2022</v>
      </c>
      <c r="DG6" t="s">
        <v>50</v>
      </c>
      <c r="DH6" t="s">
        <v>50</v>
      </c>
      <c r="DI6" t="s">
        <v>50</v>
      </c>
      <c r="DJ6">
        <v>2023</v>
      </c>
      <c r="DK6" t="s">
        <v>50</v>
      </c>
      <c r="DL6" t="s">
        <v>50</v>
      </c>
      <c r="DM6" t="s">
        <v>50</v>
      </c>
      <c r="DN6">
        <v>2024</v>
      </c>
      <c r="DO6" t="s">
        <v>50</v>
      </c>
      <c r="DP6" t="s">
        <v>50</v>
      </c>
      <c r="DQ6" t="s">
        <v>50</v>
      </c>
      <c r="DR6" t="s">
        <v>142</v>
      </c>
      <c r="DS6" t="s">
        <v>50</v>
      </c>
      <c r="DT6" t="s">
        <v>50</v>
      </c>
      <c r="DU6" t="s">
        <v>50</v>
      </c>
      <c r="DV6" t="s">
        <v>50</v>
      </c>
      <c r="DW6" t="s">
        <v>50</v>
      </c>
      <c r="DX6" t="s">
        <v>50</v>
      </c>
      <c r="DY6" t="s">
        <v>50</v>
      </c>
      <c r="DZ6" t="s">
        <v>50</v>
      </c>
      <c r="EA6" t="s">
        <v>50</v>
      </c>
      <c r="EB6" t="s">
        <v>50</v>
      </c>
      <c r="EC6" t="s">
        <v>50</v>
      </c>
      <c r="ED6" t="s">
        <v>50</v>
      </c>
      <c r="EE6" t="s">
        <v>50</v>
      </c>
      <c r="EF6" t="s">
        <v>50</v>
      </c>
      <c r="EG6" t="s">
        <v>50</v>
      </c>
      <c r="EH6" t="s">
        <v>50</v>
      </c>
      <c r="EI6" t="s">
        <v>50</v>
      </c>
      <c r="EJ6" t="s">
        <v>50</v>
      </c>
      <c r="EK6" t="s">
        <v>50</v>
      </c>
      <c r="EL6" t="s">
        <v>50</v>
      </c>
      <c r="EM6" t="s">
        <v>50</v>
      </c>
      <c r="EN6" t="s">
        <v>50</v>
      </c>
      <c r="EO6" t="s">
        <v>50</v>
      </c>
      <c r="EP6" t="s">
        <v>50</v>
      </c>
      <c r="EQ6" t="s">
        <v>50</v>
      </c>
      <c r="ER6" t="s">
        <v>50</v>
      </c>
      <c r="ES6" t="s">
        <v>50</v>
      </c>
      <c r="ET6" t="s">
        <v>50</v>
      </c>
      <c r="EU6" t="s">
        <v>50</v>
      </c>
      <c r="EV6" t="s">
        <v>50</v>
      </c>
      <c r="EW6" t="s">
        <v>50</v>
      </c>
      <c r="EX6" t="s">
        <v>50</v>
      </c>
      <c r="EY6" t="s">
        <v>50</v>
      </c>
      <c r="EZ6" t="s">
        <v>50</v>
      </c>
      <c r="FA6" t="s">
        <v>50</v>
      </c>
      <c r="FB6" t="s">
        <v>50</v>
      </c>
      <c r="FC6" t="s">
        <v>50</v>
      </c>
      <c r="FD6" t="s">
        <v>50</v>
      </c>
      <c r="FE6" t="s">
        <v>50</v>
      </c>
      <c r="FF6" t="s">
        <v>50</v>
      </c>
      <c r="FG6" t="s">
        <v>50</v>
      </c>
      <c r="FH6" t="s">
        <v>50</v>
      </c>
      <c r="FI6" t="s">
        <v>50</v>
      </c>
      <c r="FJ6" t="s">
        <v>50</v>
      </c>
      <c r="FK6" t="s">
        <v>50</v>
      </c>
      <c r="FL6" t="s">
        <v>50</v>
      </c>
      <c r="FM6" t="s">
        <v>50</v>
      </c>
      <c r="FN6" t="s">
        <v>50</v>
      </c>
      <c r="FO6" t="s">
        <v>50</v>
      </c>
      <c r="FP6" t="s">
        <v>50</v>
      </c>
      <c r="FQ6" t="s">
        <v>50</v>
      </c>
      <c r="FR6" t="s">
        <v>50</v>
      </c>
      <c r="FS6" t="s">
        <v>50</v>
      </c>
      <c r="FT6" t="s">
        <v>50</v>
      </c>
      <c r="FU6" t="s">
        <v>50</v>
      </c>
      <c r="FV6" t="s">
        <v>50</v>
      </c>
      <c r="FW6" t="s">
        <v>50</v>
      </c>
      <c r="FX6" t="s">
        <v>50</v>
      </c>
      <c r="FY6" t="s">
        <v>50</v>
      </c>
      <c r="FZ6" t="s">
        <v>50</v>
      </c>
      <c r="GA6" t="s">
        <v>50</v>
      </c>
      <c r="GB6" t="s">
        <v>50</v>
      </c>
      <c r="GC6" t="s">
        <v>50</v>
      </c>
      <c r="GD6" t="s">
        <v>50</v>
      </c>
      <c r="GE6" t="s">
        <v>50</v>
      </c>
      <c r="GF6" t="s">
        <v>50</v>
      </c>
      <c r="GG6" t="s">
        <v>50</v>
      </c>
      <c r="GH6" t="s">
        <v>50</v>
      </c>
      <c r="GI6" t="s">
        <v>50</v>
      </c>
      <c r="GJ6" t="s">
        <v>50</v>
      </c>
      <c r="GK6" t="s">
        <v>50</v>
      </c>
      <c r="GL6" t="s">
        <v>50</v>
      </c>
      <c r="GM6" t="s">
        <v>50</v>
      </c>
      <c r="GN6" t="s">
        <v>50</v>
      </c>
      <c r="GO6" t="s">
        <v>50</v>
      </c>
      <c r="GP6" t="s">
        <v>50</v>
      </c>
      <c r="GQ6" t="s">
        <v>50</v>
      </c>
      <c r="GR6" t="s">
        <v>50</v>
      </c>
      <c r="GS6" t="s">
        <v>50</v>
      </c>
      <c r="GT6" t="s">
        <v>50</v>
      </c>
      <c r="GU6" t="s">
        <v>50</v>
      </c>
      <c r="GV6" t="s">
        <v>50</v>
      </c>
      <c r="GW6" t="s">
        <v>50</v>
      </c>
      <c r="GX6" t="s">
        <v>50</v>
      </c>
      <c r="GY6" t="s">
        <v>50</v>
      </c>
      <c r="GZ6" t="s">
        <v>50</v>
      </c>
      <c r="HA6" t="s">
        <v>50</v>
      </c>
      <c r="HB6" t="s">
        <v>50</v>
      </c>
      <c r="HC6" t="s">
        <v>50</v>
      </c>
    </row>
    <row r="7" spans="1:211" x14ac:dyDescent="0.25">
      <c r="A7" t="s">
        <v>143</v>
      </c>
      <c r="B7" t="s">
        <v>144</v>
      </c>
      <c r="C7" t="s">
        <v>145</v>
      </c>
      <c r="D7" t="s">
        <v>146</v>
      </c>
      <c r="E7" t="s">
        <v>147</v>
      </c>
      <c r="F7" t="s">
        <v>144</v>
      </c>
      <c r="G7" t="s">
        <v>145</v>
      </c>
      <c r="H7" t="s">
        <v>146</v>
      </c>
      <c r="I7" t="s">
        <v>147</v>
      </c>
      <c r="J7" t="s">
        <v>144</v>
      </c>
      <c r="K7" t="s">
        <v>145</v>
      </c>
      <c r="L7" t="s">
        <v>146</v>
      </c>
      <c r="M7" t="s">
        <v>147</v>
      </c>
      <c r="N7" t="s">
        <v>144</v>
      </c>
      <c r="O7" t="s">
        <v>145</v>
      </c>
      <c r="P7" t="s">
        <v>146</v>
      </c>
      <c r="Q7" t="s">
        <v>147</v>
      </c>
      <c r="R7" t="s">
        <v>144</v>
      </c>
      <c r="S7" t="s">
        <v>145</v>
      </c>
      <c r="T7" t="s">
        <v>146</v>
      </c>
      <c r="U7" t="s">
        <v>147</v>
      </c>
      <c r="V7" t="s">
        <v>144</v>
      </c>
      <c r="W7" t="s">
        <v>145</v>
      </c>
      <c r="X7" t="s">
        <v>146</v>
      </c>
      <c r="Y7" t="s">
        <v>147</v>
      </c>
      <c r="Z7" t="s">
        <v>144</v>
      </c>
      <c r="AA7" t="s">
        <v>145</v>
      </c>
      <c r="AB7" t="s">
        <v>146</v>
      </c>
      <c r="AC7" t="s">
        <v>147</v>
      </c>
      <c r="AD7" t="s">
        <v>144</v>
      </c>
      <c r="AE7" t="s">
        <v>145</v>
      </c>
      <c r="AF7" t="s">
        <v>146</v>
      </c>
      <c r="AG7" t="s">
        <v>147</v>
      </c>
      <c r="AH7" t="s">
        <v>144</v>
      </c>
      <c r="AI7" t="s">
        <v>145</v>
      </c>
      <c r="AJ7" t="s">
        <v>146</v>
      </c>
      <c r="AK7" t="s">
        <v>147</v>
      </c>
      <c r="AL7" t="s">
        <v>144</v>
      </c>
      <c r="AM7" t="s">
        <v>145</v>
      </c>
      <c r="AN7" t="s">
        <v>146</v>
      </c>
      <c r="AO7" t="s">
        <v>147</v>
      </c>
      <c r="AP7" t="s">
        <v>144</v>
      </c>
      <c r="AQ7" t="s">
        <v>145</v>
      </c>
      <c r="AR7" t="s">
        <v>146</v>
      </c>
      <c r="AS7" t="s">
        <v>147</v>
      </c>
      <c r="AT7" t="s">
        <v>144</v>
      </c>
      <c r="AU7" t="s">
        <v>145</v>
      </c>
      <c r="AV7" t="s">
        <v>146</v>
      </c>
      <c r="AW7" t="s">
        <v>147</v>
      </c>
      <c r="AX7" t="s">
        <v>144</v>
      </c>
      <c r="AY7" t="s">
        <v>145</v>
      </c>
      <c r="AZ7" t="s">
        <v>146</v>
      </c>
      <c r="BA7" t="s">
        <v>147</v>
      </c>
      <c r="BB7" t="s">
        <v>144</v>
      </c>
      <c r="BC7" t="s">
        <v>145</v>
      </c>
      <c r="BD7" t="s">
        <v>146</v>
      </c>
      <c r="BE7" t="s">
        <v>147</v>
      </c>
      <c r="BF7" t="s">
        <v>144</v>
      </c>
      <c r="BG7" t="s">
        <v>145</v>
      </c>
      <c r="BH7" t="s">
        <v>146</v>
      </c>
      <c r="BI7" t="s">
        <v>147</v>
      </c>
      <c r="BJ7" t="s">
        <v>144</v>
      </c>
      <c r="BK7" t="s">
        <v>145</v>
      </c>
      <c r="BL7" t="s">
        <v>146</v>
      </c>
      <c r="BM7" t="s">
        <v>147</v>
      </c>
      <c r="BN7" t="s">
        <v>144</v>
      </c>
      <c r="BO7" t="s">
        <v>145</v>
      </c>
      <c r="BP7" t="s">
        <v>146</v>
      </c>
      <c r="BQ7" t="s">
        <v>147</v>
      </c>
      <c r="BR7" t="s">
        <v>144</v>
      </c>
      <c r="BS7" t="s">
        <v>145</v>
      </c>
      <c r="BT7" t="s">
        <v>146</v>
      </c>
      <c r="BU7" t="s">
        <v>147</v>
      </c>
      <c r="BV7" t="s">
        <v>144</v>
      </c>
      <c r="BW7" t="s">
        <v>145</v>
      </c>
      <c r="BX7" t="s">
        <v>146</v>
      </c>
      <c r="BY7" t="s">
        <v>147</v>
      </c>
      <c r="BZ7" t="s">
        <v>144</v>
      </c>
      <c r="CA7" t="s">
        <v>145</v>
      </c>
      <c r="CB7" t="s">
        <v>146</v>
      </c>
      <c r="CC7" t="s">
        <v>147</v>
      </c>
      <c r="CD7" t="s">
        <v>144</v>
      </c>
      <c r="CE7" t="s">
        <v>145</v>
      </c>
      <c r="CF7" t="s">
        <v>146</v>
      </c>
      <c r="CG7" t="s">
        <v>147</v>
      </c>
      <c r="CH7" t="s">
        <v>144</v>
      </c>
      <c r="CI7" t="s">
        <v>145</v>
      </c>
      <c r="CJ7" t="s">
        <v>146</v>
      </c>
      <c r="CK7" t="s">
        <v>147</v>
      </c>
      <c r="CL7" t="s">
        <v>144</v>
      </c>
      <c r="CM7" t="s">
        <v>145</v>
      </c>
      <c r="CN7" t="s">
        <v>146</v>
      </c>
      <c r="CO7" t="s">
        <v>147</v>
      </c>
      <c r="CP7" t="s">
        <v>144</v>
      </c>
      <c r="CQ7" t="s">
        <v>145</v>
      </c>
      <c r="CR7" t="s">
        <v>146</v>
      </c>
      <c r="CS7" t="s">
        <v>147</v>
      </c>
      <c r="CT7" t="s">
        <v>144</v>
      </c>
      <c r="CU7" t="s">
        <v>145</v>
      </c>
      <c r="CV7" t="s">
        <v>146</v>
      </c>
      <c r="CW7" t="s">
        <v>147</v>
      </c>
      <c r="CX7" t="s">
        <v>144</v>
      </c>
      <c r="CY7" t="s">
        <v>145</v>
      </c>
      <c r="CZ7" t="s">
        <v>146</v>
      </c>
      <c r="DA7" t="s">
        <v>147</v>
      </c>
      <c r="DB7" t="s">
        <v>144</v>
      </c>
      <c r="DC7" t="s">
        <v>145</v>
      </c>
      <c r="DD7" t="s">
        <v>146</v>
      </c>
      <c r="DE7" t="s">
        <v>147</v>
      </c>
      <c r="DF7" t="s">
        <v>144</v>
      </c>
      <c r="DG7" t="s">
        <v>145</v>
      </c>
      <c r="DH7" t="s">
        <v>146</v>
      </c>
      <c r="DI7" t="s">
        <v>147</v>
      </c>
      <c r="DJ7" t="s">
        <v>144</v>
      </c>
      <c r="DK7" t="s">
        <v>145</v>
      </c>
      <c r="DL7" t="s">
        <v>146</v>
      </c>
      <c r="DM7" t="s">
        <v>147</v>
      </c>
      <c r="DN7" t="s">
        <v>144</v>
      </c>
      <c r="DO7" t="s">
        <v>145</v>
      </c>
      <c r="DP7" t="s">
        <v>146</v>
      </c>
      <c r="DQ7" t="s">
        <v>147</v>
      </c>
    </row>
    <row r="8" spans="1:211" x14ac:dyDescent="0.25">
      <c r="A8" t="s">
        <v>148</v>
      </c>
      <c r="B8">
        <v>55.63</v>
      </c>
      <c r="C8">
        <v>157888</v>
      </c>
      <c r="D8">
        <v>1459.36</v>
      </c>
      <c r="E8">
        <v>813.3</v>
      </c>
      <c r="F8">
        <v>56.18</v>
      </c>
      <c r="G8">
        <v>239409</v>
      </c>
      <c r="H8">
        <v>1424.86</v>
      </c>
      <c r="I8">
        <v>793.45</v>
      </c>
      <c r="J8">
        <v>56.51</v>
      </c>
      <c r="K8">
        <v>191521</v>
      </c>
      <c r="L8">
        <v>1627.09</v>
      </c>
      <c r="M8">
        <v>951.03</v>
      </c>
      <c r="N8">
        <v>57.18</v>
      </c>
      <c r="O8">
        <v>170710</v>
      </c>
      <c r="P8">
        <v>1474.79</v>
      </c>
      <c r="Q8">
        <v>925.38</v>
      </c>
      <c r="R8">
        <v>57.93</v>
      </c>
      <c r="S8">
        <v>202375</v>
      </c>
      <c r="T8">
        <v>1488.51</v>
      </c>
      <c r="U8">
        <v>922.6</v>
      </c>
      <c r="V8">
        <v>58.4</v>
      </c>
      <c r="W8">
        <v>166528</v>
      </c>
      <c r="X8">
        <v>1503.86</v>
      </c>
      <c r="Y8">
        <v>942.23</v>
      </c>
      <c r="Z8">
        <v>58.56</v>
      </c>
      <c r="AA8">
        <v>258183</v>
      </c>
      <c r="AB8">
        <v>1444.29</v>
      </c>
      <c r="AC8">
        <v>935.15</v>
      </c>
      <c r="AD8">
        <v>58.51</v>
      </c>
      <c r="AE8">
        <v>275116</v>
      </c>
      <c r="AF8">
        <v>1408.24</v>
      </c>
      <c r="AG8">
        <v>934.62</v>
      </c>
      <c r="AH8">
        <v>58.91</v>
      </c>
      <c r="AI8">
        <v>294141</v>
      </c>
      <c r="AJ8">
        <v>1418.2</v>
      </c>
      <c r="AK8">
        <v>963.01</v>
      </c>
      <c r="AL8">
        <v>58.9</v>
      </c>
      <c r="AM8">
        <v>316921</v>
      </c>
      <c r="AN8">
        <v>1443.03</v>
      </c>
      <c r="AO8">
        <v>1009.03</v>
      </c>
      <c r="AP8">
        <v>60.17</v>
      </c>
      <c r="AQ8">
        <v>257850</v>
      </c>
      <c r="AR8">
        <v>1309.54</v>
      </c>
      <c r="AS8">
        <v>921.49</v>
      </c>
      <c r="AT8">
        <v>59.61</v>
      </c>
      <c r="AU8">
        <v>359280</v>
      </c>
      <c r="AV8">
        <v>1365.45</v>
      </c>
      <c r="AW8">
        <v>987.46</v>
      </c>
      <c r="AX8">
        <v>60.19</v>
      </c>
      <c r="AY8">
        <v>325512</v>
      </c>
      <c r="AZ8">
        <v>1338.61</v>
      </c>
      <c r="BA8">
        <v>981.51</v>
      </c>
      <c r="BB8">
        <v>59.52</v>
      </c>
      <c r="BC8">
        <v>274408</v>
      </c>
      <c r="BD8">
        <v>1709.65</v>
      </c>
      <c r="BE8">
        <v>1303.3599999999999</v>
      </c>
      <c r="BF8">
        <v>61.05</v>
      </c>
      <c r="BG8">
        <v>258716</v>
      </c>
      <c r="BH8">
        <v>1330.12</v>
      </c>
      <c r="BI8">
        <v>1040.8599999999999</v>
      </c>
      <c r="BJ8">
        <v>60.52</v>
      </c>
      <c r="BK8">
        <v>317937</v>
      </c>
      <c r="BL8">
        <v>1490.72</v>
      </c>
      <c r="BM8">
        <v>1184</v>
      </c>
      <c r="BN8">
        <v>60.58</v>
      </c>
      <c r="BO8">
        <v>246652</v>
      </c>
      <c r="BP8">
        <v>1592</v>
      </c>
      <c r="BQ8">
        <v>1295.08</v>
      </c>
      <c r="BR8">
        <v>61.64</v>
      </c>
      <c r="BS8">
        <v>240283</v>
      </c>
      <c r="BT8">
        <v>1492.6</v>
      </c>
      <c r="BU8">
        <v>1228.1199999999999</v>
      </c>
      <c r="BV8">
        <v>62.31</v>
      </c>
      <c r="BW8">
        <v>204536</v>
      </c>
      <c r="BX8">
        <v>1464.97</v>
      </c>
      <c r="BY8">
        <v>1207.5899999999999</v>
      </c>
      <c r="BZ8">
        <v>63.03</v>
      </c>
      <c r="CA8">
        <v>178857</v>
      </c>
      <c r="CB8">
        <v>1451.15</v>
      </c>
      <c r="CC8">
        <v>1213.43</v>
      </c>
      <c r="CD8">
        <v>62.53</v>
      </c>
      <c r="CE8">
        <v>263480</v>
      </c>
      <c r="CF8">
        <v>1670.97</v>
      </c>
      <c r="CG8">
        <v>1412.82</v>
      </c>
      <c r="CH8">
        <v>63.09</v>
      </c>
      <c r="CI8">
        <v>205964</v>
      </c>
      <c r="CJ8">
        <v>1697.67</v>
      </c>
      <c r="CK8">
        <v>1438.31</v>
      </c>
      <c r="CL8">
        <v>63.43</v>
      </c>
      <c r="CM8">
        <v>286435</v>
      </c>
      <c r="CN8">
        <v>1721.1</v>
      </c>
      <c r="CO8">
        <v>1457.77</v>
      </c>
      <c r="CP8">
        <v>63.61</v>
      </c>
      <c r="CQ8">
        <v>288723</v>
      </c>
      <c r="CR8">
        <v>1790.15</v>
      </c>
      <c r="CS8">
        <v>1533.61</v>
      </c>
      <c r="CT8">
        <v>63.87</v>
      </c>
      <c r="CU8">
        <v>333001</v>
      </c>
      <c r="CV8">
        <v>1834.67</v>
      </c>
      <c r="CW8">
        <v>1588.2</v>
      </c>
      <c r="CX8">
        <v>64.209999999999994</v>
      </c>
      <c r="CY8">
        <v>412036</v>
      </c>
      <c r="CZ8">
        <v>1683.45</v>
      </c>
      <c r="DA8">
        <v>1461.49</v>
      </c>
      <c r="DB8">
        <v>64.28</v>
      </c>
      <c r="DC8">
        <v>437454</v>
      </c>
      <c r="DD8">
        <v>1611.14</v>
      </c>
      <c r="DE8">
        <v>1396.42</v>
      </c>
      <c r="DF8">
        <v>64.44</v>
      </c>
      <c r="DG8">
        <v>426437</v>
      </c>
      <c r="DH8">
        <v>1532.83</v>
      </c>
      <c r="DI8">
        <v>1355.52</v>
      </c>
      <c r="DJ8">
        <v>64.66</v>
      </c>
      <c r="DK8">
        <v>417382</v>
      </c>
      <c r="DL8">
        <v>1464.37</v>
      </c>
      <c r="DM8">
        <v>1382.63</v>
      </c>
      <c r="DN8">
        <v>64.959999999999994</v>
      </c>
      <c r="DO8">
        <v>366289</v>
      </c>
      <c r="DP8">
        <v>1426.53</v>
      </c>
      <c r="DQ8">
        <v>1410.46</v>
      </c>
    </row>
    <row r="9" spans="1:211" x14ac:dyDescent="0.25">
      <c r="A9" t="s">
        <v>149</v>
      </c>
      <c r="B9">
        <v>44.37</v>
      </c>
      <c r="C9">
        <v>4506</v>
      </c>
      <c r="D9">
        <v>1072.18</v>
      </c>
      <c r="E9">
        <v>555.32000000000005</v>
      </c>
      <c r="F9">
        <v>44.61</v>
      </c>
      <c r="G9">
        <v>4514</v>
      </c>
      <c r="H9">
        <v>971.12</v>
      </c>
      <c r="I9">
        <v>511.13</v>
      </c>
      <c r="J9">
        <v>45.18</v>
      </c>
      <c r="K9">
        <v>4896</v>
      </c>
      <c r="L9">
        <v>1021.23</v>
      </c>
      <c r="M9">
        <v>561.41999999999996</v>
      </c>
      <c r="N9">
        <v>45.2</v>
      </c>
      <c r="O9">
        <v>5219</v>
      </c>
      <c r="P9">
        <v>995.61</v>
      </c>
      <c r="Q9">
        <v>548.51</v>
      </c>
      <c r="R9">
        <v>45.69</v>
      </c>
      <c r="S9">
        <v>5462</v>
      </c>
      <c r="T9">
        <v>985</v>
      </c>
      <c r="U9">
        <v>553.17999999999995</v>
      </c>
      <c r="V9">
        <v>46.11</v>
      </c>
      <c r="W9">
        <v>6361</v>
      </c>
      <c r="X9">
        <v>1034.3699999999999</v>
      </c>
      <c r="Y9">
        <v>584.29999999999995</v>
      </c>
      <c r="Z9">
        <v>46.35</v>
      </c>
      <c r="AA9">
        <v>7032</v>
      </c>
      <c r="AB9">
        <v>1047.3399999999999</v>
      </c>
      <c r="AC9">
        <v>614.14</v>
      </c>
      <c r="AD9">
        <v>46.44</v>
      </c>
      <c r="AE9">
        <v>7860</v>
      </c>
      <c r="AF9">
        <v>1043.75</v>
      </c>
      <c r="AG9">
        <v>619.23</v>
      </c>
      <c r="AH9">
        <v>46.64</v>
      </c>
      <c r="AI9">
        <v>8619</v>
      </c>
      <c r="AJ9">
        <v>1008.39</v>
      </c>
      <c r="AK9">
        <v>611.07000000000005</v>
      </c>
      <c r="AL9">
        <v>46.88</v>
      </c>
      <c r="AM9">
        <v>9606</v>
      </c>
      <c r="AN9">
        <v>990.14</v>
      </c>
      <c r="AO9">
        <v>614.46</v>
      </c>
      <c r="AP9">
        <v>47.03</v>
      </c>
      <c r="AQ9">
        <v>10283</v>
      </c>
      <c r="AR9">
        <v>964.77</v>
      </c>
      <c r="AS9">
        <v>619.28</v>
      </c>
      <c r="AT9">
        <v>47.42</v>
      </c>
      <c r="AU9">
        <v>11876</v>
      </c>
      <c r="AV9">
        <v>971.26</v>
      </c>
      <c r="AW9">
        <v>631.25</v>
      </c>
      <c r="AX9">
        <v>47.58</v>
      </c>
      <c r="AY9">
        <v>12503</v>
      </c>
      <c r="AZ9">
        <v>955.11</v>
      </c>
      <c r="BA9">
        <v>631.08000000000004</v>
      </c>
      <c r="BB9">
        <v>47.98</v>
      </c>
      <c r="BC9">
        <v>13139</v>
      </c>
      <c r="BD9">
        <v>935.27</v>
      </c>
      <c r="BE9">
        <v>628.41999999999996</v>
      </c>
      <c r="BF9">
        <v>48.33</v>
      </c>
      <c r="BG9">
        <v>13548</v>
      </c>
      <c r="BH9">
        <v>925.76</v>
      </c>
      <c r="BI9">
        <v>648.28</v>
      </c>
      <c r="BJ9">
        <v>48.84</v>
      </c>
      <c r="BK9">
        <v>13325</v>
      </c>
      <c r="BL9">
        <v>915.35</v>
      </c>
      <c r="BM9">
        <v>645.28</v>
      </c>
      <c r="BN9">
        <v>49.34</v>
      </c>
      <c r="BO9">
        <v>12770</v>
      </c>
      <c r="BP9">
        <v>904.82</v>
      </c>
      <c r="BQ9">
        <v>650.94000000000005</v>
      </c>
      <c r="BR9">
        <v>49.93</v>
      </c>
      <c r="BS9">
        <v>13627</v>
      </c>
      <c r="BT9">
        <v>923.39</v>
      </c>
      <c r="BU9">
        <v>683.55</v>
      </c>
      <c r="BV9">
        <v>50.46</v>
      </c>
      <c r="BW9">
        <v>15606</v>
      </c>
      <c r="BX9">
        <v>909.01</v>
      </c>
      <c r="BY9">
        <v>697.72</v>
      </c>
      <c r="BZ9">
        <v>50.9</v>
      </c>
      <c r="CA9">
        <v>17117</v>
      </c>
      <c r="CB9">
        <v>897</v>
      </c>
      <c r="CC9">
        <v>699.41</v>
      </c>
      <c r="CD9">
        <v>51.54</v>
      </c>
      <c r="CE9">
        <v>18307</v>
      </c>
      <c r="CF9">
        <v>887.58</v>
      </c>
      <c r="CG9">
        <v>695.39</v>
      </c>
      <c r="CH9">
        <v>52.19</v>
      </c>
      <c r="CI9">
        <v>19151</v>
      </c>
      <c r="CJ9">
        <v>877.27</v>
      </c>
      <c r="CK9">
        <v>688.38</v>
      </c>
      <c r="CL9">
        <v>52.73</v>
      </c>
      <c r="CM9">
        <v>20219</v>
      </c>
      <c r="CN9">
        <v>879.64</v>
      </c>
      <c r="CO9">
        <v>689.39</v>
      </c>
      <c r="CP9">
        <v>53.38</v>
      </c>
      <c r="CQ9">
        <v>21638</v>
      </c>
      <c r="CR9">
        <v>879.55</v>
      </c>
      <c r="CS9">
        <v>696.9</v>
      </c>
      <c r="CT9">
        <v>53.84</v>
      </c>
      <c r="CU9">
        <v>26249</v>
      </c>
      <c r="CV9">
        <v>839.71</v>
      </c>
      <c r="CW9">
        <v>680.39</v>
      </c>
      <c r="CX9">
        <v>54.41</v>
      </c>
      <c r="CY9">
        <v>24413</v>
      </c>
      <c r="CZ9">
        <v>825.6</v>
      </c>
      <c r="DA9">
        <v>684.66</v>
      </c>
      <c r="DB9">
        <v>55.07</v>
      </c>
      <c r="DC9">
        <v>29117</v>
      </c>
      <c r="DD9">
        <v>842.89</v>
      </c>
      <c r="DE9">
        <v>693.64</v>
      </c>
      <c r="DF9">
        <v>55.1</v>
      </c>
      <c r="DG9">
        <v>38959</v>
      </c>
      <c r="DH9">
        <v>809.14</v>
      </c>
      <c r="DI9">
        <v>685.38</v>
      </c>
      <c r="DJ9">
        <v>55.48</v>
      </c>
      <c r="DK9">
        <v>46825</v>
      </c>
      <c r="DL9">
        <v>787.43</v>
      </c>
      <c r="DM9">
        <v>730.07</v>
      </c>
      <c r="DN9">
        <v>55.61</v>
      </c>
      <c r="DO9">
        <v>44025</v>
      </c>
      <c r="DP9">
        <v>772.04</v>
      </c>
      <c r="DQ9">
        <v>762.44</v>
      </c>
    </row>
    <row r="10" spans="1:211" x14ac:dyDescent="0.25">
      <c r="A10" t="s">
        <v>150</v>
      </c>
      <c r="B10">
        <v>52.89</v>
      </c>
      <c r="C10">
        <v>38263</v>
      </c>
      <c r="D10">
        <v>741.67</v>
      </c>
      <c r="E10">
        <v>436.26</v>
      </c>
      <c r="F10">
        <v>53.86</v>
      </c>
      <c r="G10">
        <v>40227</v>
      </c>
      <c r="H10">
        <v>748.08</v>
      </c>
      <c r="I10">
        <v>471.07</v>
      </c>
      <c r="J10">
        <v>54.7</v>
      </c>
      <c r="K10">
        <v>43308</v>
      </c>
      <c r="L10">
        <v>756.72</v>
      </c>
      <c r="M10">
        <v>491.12</v>
      </c>
      <c r="N10">
        <v>55.7</v>
      </c>
      <c r="O10">
        <v>46888</v>
      </c>
      <c r="P10">
        <v>761.03</v>
      </c>
      <c r="Q10">
        <v>496.73</v>
      </c>
      <c r="R10">
        <v>56.42</v>
      </c>
      <c r="S10">
        <v>48974</v>
      </c>
      <c r="T10">
        <v>763.6</v>
      </c>
      <c r="U10">
        <v>503.53</v>
      </c>
      <c r="V10">
        <v>57.26</v>
      </c>
      <c r="W10">
        <v>51677</v>
      </c>
      <c r="X10">
        <v>766.53</v>
      </c>
      <c r="Y10">
        <v>513.82000000000005</v>
      </c>
      <c r="Z10">
        <v>57.98</v>
      </c>
      <c r="AA10">
        <v>55057</v>
      </c>
      <c r="AB10">
        <v>766.22</v>
      </c>
      <c r="AC10">
        <v>528.29999999999995</v>
      </c>
      <c r="AD10">
        <v>58.79</v>
      </c>
      <c r="AE10">
        <v>58727</v>
      </c>
      <c r="AF10">
        <v>769.34</v>
      </c>
      <c r="AG10">
        <v>545.03</v>
      </c>
      <c r="AH10">
        <v>59.59</v>
      </c>
      <c r="AI10">
        <v>63842</v>
      </c>
      <c r="AJ10">
        <v>772.01</v>
      </c>
      <c r="AK10">
        <v>556.79999999999995</v>
      </c>
      <c r="AL10">
        <v>60.33</v>
      </c>
      <c r="AM10">
        <v>64790</v>
      </c>
      <c r="AN10">
        <v>776.18</v>
      </c>
      <c r="AO10">
        <v>572.72</v>
      </c>
      <c r="AP10">
        <v>61.08</v>
      </c>
      <c r="AQ10">
        <v>69677</v>
      </c>
      <c r="AR10">
        <v>779.09</v>
      </c>
      <c r="AS10">
        <v>581.83000000000004</v>
      </c>
      <c r="AT10">
        <v>61.8</v>
      </c>
      <c r="AU10">
        <v>73795</v>
      </c>
      <c r="AV10">
        <v>780.72</v>
      </c>
      <c r="AW10">
        <v>592.54</v>
      </c>
      <c r="AX10">
        <v>62.56</v>
      </c>
      <c r="AY10">
        <v>77936</v>
      </c>
      <c r="AZ10">
        <v>777.87</v>
      </c>
      <c r="BA10">
        <v>600.82000000000005</v>
      </c>
      <c r="BB10">
        <v>63.31</v>
      </c>
      <c r="BC10">
        <v>83274</v>
      </c>
      <c r="BD10">
        <v>783.97</v>
      </c>
      <c r="BE10">
        <v>613.95000000000005</v>
      </c>
      <c r="BF10">
        <v>64.22</v>
      </c>
      <c r="BG10">
        <v>89056</v>
      </c>
      <c r="BH10">
        <v>786.96</v>
      </c>
      <c r="BI10">
        <v>634.22</v>
      </c>
      <c r="BJ10">
        <v>64.930000000000007</v>
      </c>
      <c r="BK10">
        <v>93495</v>
      </c>
      <c r="BL10">
        <v>786.18</v>
      </c>
      <c r="BM10">
        <v>631.52</v>
      </c>
      <c r="BN10">
        <v>65.75</v>
      </c>
      <c r="BO10">
        <v>99581</v>
      </c>
      <c r="BP10">
        <v>792.55</v>
      </c>
      <c r="BQ10">
        <v>645</v>
      </c>
      <c r="BR10">
        <v>66.599999999999994</v>
      </c>
      <c r="BS10">
        <v>107109</v>
      </c>
      <c r="BT10">
        <v>793.59</v>
      </c>
      <c r="BU10">
        <v>657.14</v>
      </c>
      <c r="BV10">
        <v>67.319999999999993</v>
      </c>
      <c r="BW10">
        <v>112245</v>
      </c>
      <c r="BX10">
        <v>793.07</v>
      </c>
      <c r="BY10">
        <v>668.03</v>
      </c>
      <c r="BZ10">
        <v>68.010000000000005</v>
      </c>
      <c r="CA10">
        <v>118111</v>
      </c>
      <c r="CB10">
        <v>795.85</v>
      </c>
      <c r="CC10">
        <v>683.08</v>
      </c>
      <c r="CD10">
        <v>68.91</v>
      </c>
      <c r="CE10">
        <v>129594</v>
      </c>
      <c r="CF10">
        <v>796.5</v>
      </c>
      <c r="CG10">
        <v>678.58</v>
      </c>
      <c r="CH10">
        <v>69.540000000000006</v>
      </c>
      <c r="CI10">
        <v>131719</v>
      </c>
      <c r="CJ10">
        <v>800.62</v>
      </c>
      <c r="CK10">
        <v>680.6</v>
      </c>
      <c r="CL10">
        <v>70.489999999999995</v>
      </c>
      <c r="CM10">
        <v>143843</v>
      </c>
      <c r="CN10">
        <v>804.06</v>
      </c>
      <c r="CO10">
        <v>681.66</v>
      </c>
      <c r="CP10">
        <v>71.069999999999993</v>
      </c>
      <c r="CQ10">
        <v>148669</v>
      </c>
      <c r="CR10">
        <v>805.8</v>
      </c>
      <c r="CS10">
        <v>689.68</v>
      </c>
      <c r="CT10">
        <v>71.87</v>
      </c>
      <c r="CU10">
        <v>157162</v>
      </c>
      <c r="CV10">
        <v>809.68</v>
      </c>
      <c r="CW10">
        <v>699.41</v>
      </c>
      <c r="CX10">
        <v>72.64</v>
      </c>
      <c r="CY10">
        <v>186913</v>
      </c>
      <c r="CZ10">
        <v>827.04</v>
      </c>
      <c r="DA10">
        <v>717.69</v>
      </c>
      <c r="DB10">
        <v>72.989999999999995</v>
      </c>
      <c r="DC10">
        <v>196018</v>
      </c>
      <c r="DD10">
        <v>821.15</v>
      </c>
      <c r="DE10">
        <v>711.88</v>
      </c>
      <c r="DF10">
        <v>74.010000000000005</v>
      </c>
      <c r="DG10">
        <v>198534</v>
      </c>
      <c r="DH10">
        <v>824.43</v>
      </c>
      <c r="DI10">
        <v>725.49</v>
      </c>
      <c r="DJ10">
        <v>74.64</v>
      </c>
      <c r="DK10">
        <v>190638</v>
      </c>
      <c r="DL10">
        <v>830.51</v>
      </c>
      <c r="DM10">
        <v>791.29</v>
      </c>
      <c r="DN10">
        <v>75.540000000000006</v>
      </c>
      <c r="DO10">
        <v>171377</v>
      </c>
      <c r="DP10">
        <v>847.3</v>
      </c>
      <c r="DQ10">
        <v>845.6</v>
      </c>
    </row>
    <row r="11" spans="1:211" x14ac:dyDescent="0.25">
      <c r="A11" t="s">
        <v>44</v>
      </c>
      <c r="B11">
        <v>54.85</v>
      </c>
      <c r="C11">
        <v>200657</v>
      </c>
      <c r="D11">
        <v>1313.81</v>
      </c>
      <c r="E11">
        <v>735.61</v>
      </c>
      <c r="F11">
        <v>55.67</v>
      </c>
      <c r="G11">
        <v>284150</v>
      </c>
      <c r="H11">
        <v>1321.84</v>
      </c>
      <c r="I11">
        <v>743.32</v>
      </c>
      <c r="J11">
        <v>55.95</v>
      </c>
      <c r="K11">
        <v>239725</v>
      </c>
      <c r="L11">
        <v>1457.48</v>
      </c>
      <c r="M11">
        <v>859.99</v>
      </c>
      <c r="N11">
        <v>56.59</v>
      </c>
      <c r="O11">
        <v>222817</v>
      </c>
      <c r="P11">
        <v>1313.36</v>
      </c>
      <c r="Q11">
        <v>826.35</v>
      </c>
      <c r="R11">
        <v>57.38</v>
      </c>
      <c r="S11">
        <v>256811</v>
      </c>
      <c r="T11">
        <v>1339.56</v>
      </c>
      <c r="U11">
        <v>834.83</v>
      </c>
      <c r="V11">
        <v>57.79</v>
      </c>
      <c r="W11">
        <v>224566</v>
      </c>
      <c r="X11">
        <v>1320.89</v>
      </c>
      <c r="Y11">
        <v>833.51</v>
      </c>
      <c r="Z11">
        <v>58.19</v>
      </c>
      <c r="AA11">
        <v>320272</v>
      </c>
      <c r="AB11">
        <v>1319.01</v>
      </c>
      <c r="AC11">
        <v>858.16</v>
      </c>
      <c r="AD11">
        <v>58.28</v>
      </c>
      <c r="AE11">
        <v>341703</v>
      </c>
      <c r="AF11">
        <v>1290.05</v>
      </c>
      <c r="AG11">
        <v>860.41</v>
      </c>
      <c r="AH11">
        <v>58.74</v>
      </c>
      <c r="AI11">
        <v>366602</v>
      </c>
      <c r="AJ11">
        <v>1296.03</v>
      </c>
      <c r="AK11">
        <v>884</v>
      </c>
      <c r="AL11">
        <v>58.84</v>
      </c>
      <c r="AM11">
        <v>391317</v>
      </c>
      <c r="AN11">
        <v>1321.51</v>
      </c>
      <c r="AO11">
        <v>927.11</v>
      </c>
      <c r="AP11">
        <v>59.96</v>
      </c>
      <c r="AQ11">
        <v>337810</v>
      </c>
      <c r="AR11">
        <v>1189.6400000000001</v>
      </c>
      <c r="AS11">
        <v>842.23</v>
      </c>
      <c r="AT11">
        <v>59.65</v>
      </c>
      <c r="AU11">
        <v>444951</v>
      </c>
      <c r="AV11">
        <v>1257.95</v>
      </c>
      <c r="AW11">
        <v>912.45</v>
      </c>
      <c r="AX11">
        <v>60.26</v>
      </c>
      <c r="AY11">
        <v>415951</v>
      </c>
      <c r="AZ11">
        <v>1222.02</v>
      </c>
      <c r="BA11">
        <v>899.65</v>
      </c>
      <c r="BB11">
        <v>59.96</v>
      </c>
      <c r="BC11">
        <v>370821</v>
      </c>
      <c r="BD11">
        <v>1474.34</v>
      </c>
      <c r="BE11">
        <v>1124.6199999999999</v>
      </c>
      <c r="BF11">
        <v>61.35</v>
      </c>
      <c r="BG11">
        <v>361320</v>
      </c>
      <c r="BH11">
        <v>1181.08</v>
      </c>
      <c r="BI11">
        <v>925.91</v>
      </c>
      <c r="BJ11">
        <v>61.13</v>
      </c>
      <c r="BK11">
        <v>424757</v>
      </c>
      <c r="BL11">
        <v>1317.59</v>
      </c>
      <c r="BM11">
        <v>1045.49</v>
      </c>
      <c r="BN11">
        <v>61.62</v>
      </c>
      <c r="BO11">
        <v>359003</v>
      </c>
      <c r="BP11">
        <v>1345.81</v>
      </c>
      <c r="BQ11">
        <v>1091.8499999999999</v>
      </c>
      <c r="BR11">
        <v>62.67</v>
      </c>
      <c r="BS11">
        <v>361019</v>
      </c>
      <c r="BT11">
        <v>1263.73</v>
      </c>
      <c r="BU11">
        <v>1038.1600000000001</v>
      </c>
      <c r="BV11">
        <v>63.44</v>
      </c>
      <c r="BW11">
        <v>332387</v>
      </c>
      <c r="BX11">
        <v>1211.97</v>
      </c>
      <c r="BY11">
        <v>1001.44</v>
      </c>
      <c r="BZ11">
        <v>64.239999999999995</v>
      </c>
      <c r="CA11">
        <v>314085</v>
      </c>
      <c r="CB11">
        <v>1174.53</v>
      </c>
      <c r="CC11">
        <v>985.98</v>
      </c>
      <c r="CD11">
        <v>64.05</v>
      </c>
      <c r="CE11">
        <v>411381</v>
      </c>
      <c r="CF11">
        <v>1360.63</v>
      </c>
      <c r="CG11">
        <v>1149.5899999999999</v>
      </c>
      <c r="CH11">
        <v>64.89</v>
      </c>
      <c r="CI11">
        <v>356834</v>
      </c>
      <c r="CJ11">
        <v>1322.51</v>
      </c>
      <c r="CK11">
        <v>1118.3699999999999</v>
      </c>
      <c r="CL11">
        <v>65.2</v>
      </c>
      <c r="CM11">
        <v>450497</v>
      </c>
      <c r="CN11">
        <v>1390.53</v>
      </c>
      <c r="CO11">
        <v>1175.47</v>
      </c>
      <c r="CP11">
        <v>65.540000000000006</v>
      </c>
      <c r="CQ11">
        <v>459030</v>
      </c>
      <c r="CR11">
        <v>1428.42</v>
      </c>
      <c r="CS11">
        <v>1220.8399999999999</v>
      </c>
      <c r="CT11">
        <v>65.8</v>
      </c>
      <c r="CU11">
        <v>516412</v>
      </c>
      <c r="CV11">
        <v>1472.16</v>
      </c>
      <c r="CW11">
        <v>1271.57</v>
      </c>
      <c r="CX11">
        <v>66.349999999999994</v>
      </c>
      <c r="CY11">
        <v>623362</v>
      </c>
      <c r="CZ11">
        <v>1393.06</v>
      </c>
      <c r="DA11">
        <v>1208.05</v>
      </c>
      <c r="DB11">
        <v>66.45</v>
      </c>
      <c r="DC11">
        <v>662589</v>
      </c>
      <c r="DD11">
        <v>1343.67</v>
      </c>
      <c r="DE11">
        <v>1163.02</v>
      </c>
      <c r="DF11">
        <v>66.75</v>
      </c>
      <c r="DG11">
        <v>663930</v>
      </c>
      <c r="DH11">
        <v>1278.53</v>
      </c>
      <c r="DI11">
        <v>1127.8</v>
      </c>
      <c r="DJ11">
        <v>66.91</v>
      </c>
      <c r="DK11">
        <v>654845</v>
      </c>
      <c r="DL11">
        <v>1231.44</v>
      </c>
      <c r="DM11">
        <v>1163.82</v>
      </c>
      <c r="DN11">
        <v>67.37</v>
      </c>
      <c r="DO11">
        <v>581691</v>
      </c>
      <c r="DP11">
        <v>1206.3399999999999</v>
      </c>
      <c r="DQ11">
        <v>1194.99</v>
      </c>
    </row>
    <row r="14" spans="1:211" x14ac:dyDescent="0.25">
      <c r="E14">
        <f>(D8-E8)/E8</f>
        <v>0.79436862166482236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B33E-7A39-44E5-A28F-6CB503CC1206}">
  <sheetPr>
    <tabColor theme="2" tint="-0.249977111117893"/>
  </sheetPr>
  <dimension ref="A1:AH13"/>
  <sheetViews>
    <sheetView workbookViewId="0">
      <selection activeCell="N24" sqref="N24"/>
    </sheetView>
  </sheetViews>
  <sheetFormatPr defaultRowHeight="15" x14ac:dyDescent="0.25"/>
  <cols>
    <col min="2" max="121" width="13.140625" customWidth="1"/>
  </cols>
  <sheetData>
    <row r="1" spans="1:34" x14ac:dyDescent="0.25">
      <c r="A1" t="s">
        <v>109</v>
      </c>
      <c r="G1" t="s">
        <v>152</v>
      </c>
    </row>
    <row r="2" spans="1:34" x14ac:dyDescent="0.25">
      <c r="A2" t="s">
        <v>55</v>
      </c>
    </row>
    <row r="3" spans="1:34" x14ac:dyDescent="0.25">
      <c r="A3" t="s">
        <v>110</v>
      </c>
      <c r="B3" t="s">
        <v>92</v>
      </c>
      <c r="C3" t="s">
        <v>94</v>
      </c>
      <c r="D3" t="s">
        <v>111</v>
      </c>
      <c r="E3" t="s">
        <v>112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M3" t="s">
        <v>120</v>
      </c>
      <c r="N3" t="s">
        <v>121</v>
      </c>
      <c r="O3" t="s">
        <v>122</v>
      </c>
      <c r="P3" t="s">
        <v>123</v>
      </c>
      <c r="Q3" t="s">
        <v>124</v>
      </c>
      <c r="R3" t="s">
        <v>125</v>
      </c>
      <c r="S3" t="s">
        <v>126</v>
      </c>
      <c r="T3" t="s">
        <v>127</v>
      </c>
      <c r="U3" t="s">
        <v>128</v>
      </c>
      <c r="V3" t="s">
        <v>129</v>
      </c>
      <c r="W3" t="s">
        <v>130</v>
      </c>
      <c r="X3" t="s">
        <v>131</v>
      </c>
      <c r="Y3" t="s">
        <v>132</v>
      </c>
      <c r="Z3" t="s">
        <v>133</v>
      </c>
      <c r="AA3" t="s">
        <v>134</v>
      </c>
      <c r="AB3" t="s">
        <v>135</v>
      </c>
      <c r="AC3" t="s">
        <v>136</v>
      </c>
      <c r="AD3" t="s">
        <v>137</v>
      </c>
      <c r="AE3" t="s">
        <v>138</v>
      </c>
      <c r="AF3" t="s">
        <v>139</v>
      </c>
      <c r="AG3" t="s">
        <v>140</v>
      </c>
      <c r="AH3" t="s">
        <v>141</v>
      </c>
    </row>
    <row r="5" spans="1:34" x14ac:dyDescent="0.25">
      <c r="A5" t="s">
        <v>57</v>
      </c>
      <c r="B5" t="s">
        <v>58</v>
      </c>
      <c r="C5" t="s">
        <v>59</v>
      </c>
    </row>
    <row r="6" spans="1:34" x14ac:dyDescent="0.25">
      <c r="C6">
        <v>1995</v>
      </c>
      <c r="D6">
        <v>1996</v>
      </c>
      <c r="E6">
        <v>1997</v>
      </c>
      <c r="F6">
        <v>1998</v>
      </c>
      <c r="G6">
        <v>1999</v>
      </c>
      <c r="H6">
        <v>2000</v>
      </c>
      <c r="I6">
        <v>2001</v>
      </c>
      <c r="J6">
        <v>2002</v>
      </c>
      <c r="K6">
        <v>2003</v>
      </c>
      <c r="L6">
        <v>2004</v>
      </c>
      <c r="M6">
        <v>2005</v>
      </c>
      <c r="N6">
        <v>2006</v>
      </c>
      <c r="O6">
        <v>2007</v>
      </c>
      <c r="P6">
        <v>2008</v>
      </c>
      <c r="Q6">
        <v>2009</v>
      </c>
      <c r="R6">
        <v>2010</v>
      </c>
      <c r="S6">
        <v>2011</v>
      </c>
      <c r="T6">
        <v>2012</v>
      </c>
      <c r="U6">
        <v>2013</v>
      </c>
      <c r="V6">
        <v>2014</v>
      </c>
      <c r="W6">
        <v>2015</v>
      </c>
      <c r="X6">
        <v>2016</v>
      </c>
      <c r="Y6">
        <v>2017</v>
      </c>
      <c r="Z6">
        <v>2018</v>
      </c>
      <c r="AA6">
        <v>2019</v>
      </c>
      <c r="AB6">
        <v>2020</v>
      </c>
      <c r="AC6">
        <v>2021</v>
      </c>
      <c r="AD6">
        <v>2022</v>
      </c>
      <c r="AE6">
        <v>2023</v>
      </c>
      <c r="AF6">
        <v>2024</v>
      </c>
    </row>
    <row r="7" spans="1:34" x14ac:dyDescent="0.25">
      <c r="B7" t="s">
        <v>153</v>
      </c>
      <c r="C7" s="55">
        <v>157888</v>
      </c>
      <c r="D7" s="55">
        <v>239409</v>
      </c>
      <c r="E7" s="55">
        <v>191521</v>
      </c>
      <c r="F7" s="55">
        <v>170710</v>
      </c>
      <c r="G7" s="55">
        <v>202375</v>
      </c>
      <c r="H7" s="55">
        <v>166528</v>
      </c>
      <c r="I7" s="55">
        <v>258183</v>
      </c>
      <c r="J7" s="55">
        <v>275116</v>
      </c>
      <c r="K7" s="55">
        <v>294141</v>
      </c>
      <c r="L7" s="55">
        <v>316921</v>
      </c>
      <c r="M7" s="55">
        <v>257850</v>
      </c>
      <c r="N7" s="55">
        <v>359280</v>
      </c>
      <c r="O7" s="55">
        <v>325512</v>
      </c>
      <c r="P7" s="55">
        <v>274408</v>
      </c>
      <c r="Q7" s="55">
        <v>258716</v>
      </c>
      <c r="R7" s="55">
        <v>317937</v>
      </c>
      <c r="S7" s="55">
        <v>246652</v>
      </c>
      <c r="T7" s="55">
        <v>240283</v>
      </c>
      <c r="U7" s="55">
        <v>204536</v>
      </c>
      <c r="V7" s="55">
        <v>178857</v>
      </c>
      <c r="W7" s="55">
        <v>263480</v>
      </c>
      <c r="X7" s="55">
        <v>205964</v>
      </c>
      <c r="Y7" s="55">
        <v>286435</v>
      </c>
      <c r="Z7" s="55">
        <v>288723</v>
      </c>
      <c r="AA7" s="55">
        <v>333001</v>
      </c>
      <c r="AB7" s="55">
        <v>412036</v>
      </c>
      <c r="AC7" s="55">
        <v>437454</v>
      </c>
      <c r="AD7" s="55">
        <v>426437</v>
      </c>
      <c r="AE7" s="55">
        <v>417382</v>
      </c>
      <c r="AF7" s="55">
        <v>366289</v>
      </c>
    </row>
    <row r="8" spans="1:34" x14ac:dyDescent="0.25">
      <c r="B8" t="s">
        <v>157</v>
      </c>
      <c r="C8" s="55">
        <v>4506</v>
      </c>
      <c r="D8" s="55">
        <v>4514</v>
      </c>
      <c r="E8" s="55">
        <v>4896</v>
      </c>
      <c r="F8" s="55">
        <v>5219</v>
      </c>
      <c r="G8" s="55">
        <v>5462</v>
      </c>
      <c r="H8" s="55">
        <v>6361</v>
      </c>
      <c r="I8" s="55">
        <v>7032</v>
      </c>
      <c r="J8" s="55">
        <v>7860</v>
      </c>
      <c r="K8" s="55">
        <v>8619</v>
      </c>
      <c r="L8" s="55">
        <v>9606</v>
      </c>
      <c r="M8" s="55">
        <v>10283</v>
      </c>
      <c r="N8" s="55">
        <v>11876</v>
      </c>
      <c r="O8" s="55">
        <v>12503</v>
      </c>
      <c r="P8" s="55">
        <v>13139</v>
      </c>
      <c r="Q8" s="55">
        <v>13548</v>
      </c>
      <c r="R8" s="55">
        <v>13325</v>
      </c>
      <c r="S8" s="55">
        <v>12770</v>
      </c>
      <c r="T8" s="55">
        <v>13627</v>
      </c>
      <c r="U8" s="55">
        <v>15606</v>
      </c>
      <c r="V8" s="55">
        <v>17117</v>
      </c>
      <c r="W8" s="55">
        <v>18307</v>
      </c>
      <c r="X8" s="55">
        <v>19151</v>
      </c>
      <c r="Y8" s="55">
        <v>20219</v>
      </c>
      <c r="Z8" s="55">
        <v>21638</v>
      </c>
      <c r="AA8" s="55">
        <v>26249</v>
      </c>
      <c r="AB8" s="55">
        <v>24413</v>
      </c>
      <c r="AC8" s="55">
        <v>29117</v>
      </c>
      <c r="AD8" s="55">
        <v>38959</v>
      </c>
      <c r="AE8" s="55">
        <v>46825</v>
      </c>
      <c r="AF8" s="55">
        <v>44025</v>
      </c>
    </row>
    <row r="9" spans="1:34" x14ac:dyDescent="0.25">
      <c r="B9" t="s">
        <v>150</v>
      </c>
      <c r="C9" s="55">
        <v>38263</v>
      </c>
      <c r="D9" s="55">
        <v>40227</v>
      </c>
      <c r="E9" s="55">
        <v>43308</v>
      </c>
      <c r="F9" s="55">
        <v>46888</v>
      </c>
      <c r="G9" s="55">
        <v>48974</v>
      </c>
      <c r="H9" s="55">
        <v>51677</v>
      </c>
      <c r="I9" s="55">
        <v>55057</v>
      </c>
      <c r="J9" s="55">
        <v>58727</v>
      </c>
      <c r="K9" s="55">
        <v>63842</v>
      </c>
      <c r="L9" s="55">
        <v>64790</v>
      </c>
      <c r="M9" s="55">
        <v>69677</v>
      </c>
      <c r="N9" s="55">
        <v>73795</v>
      </c>
      <c r="O9" s="55">
        <v>77936</v>
      </c>
      <c r="P9" s="55">
        <v>83274</v>
      </c>
      <c r="Q9" s="55">
        <v>89056</v>
      </c>
      <c r="R9" s="55">
        <v>93495</v>
      </c>
      <c r="S9" s="55">
        <v>99581</v>
      </c>
      <c r="T9" s="55">
        <v>107109</v>
      </c>
      <c r="U9" s="55">
        <v>112245</v>
      </c>
      <c r="V9" s="55">
        <v>118111</v>
      </c>
      <c r="W9" s="55">
        <v>129594</v>
      </c>
      <c r="X9" s="55">
        <v>131719</v>
      </c>
      <c r="Y9" s="55">
        <v>143843</v>
      </c>
      <c r="Z9" s="55">
        <v>148669</v>
      </c>
      <c r="AA9" s="55">
        <v>157162</v>
      </c>
      <c r="AB9" s="55">
        <v>186913</v>
      </c>
      <c r="AC9" s="55">
        <v>196018</v>
      </c>
      <c r="AD9" s="55">
        <v>198534</v>
      </c>
      <c r="AE9" s="55">
        <v>190638</v>
      </c>
      <c r="AF9" s="55">
        <v>171377</v>
      </c>
    </row>
    <row r="10" spans="1:34" x14ac:dyDescent="0.25">
      <c r="B10" t="s">
        <v>44</v>
      </c>
      <c r="C10" s="55">
        <v>200657</v>
      </c>
      <c r="D10" s="55">
        <v>284150</v>
      </c>
      <c r="E10" s="55">
        <v>239725</v>
      </c>
      <c r="F10" s="55">
        <v>222817</v>
      </c>
      <c r="G10" s="55">
        <v>256811</v>
      </c>
      <c r="H10" s="55">
        <v>224566</v>
      </c>
      <c r="I10" s="55">
        <v>320272</v>
      </c>
      <c r="J10" s="55">
        <v>341703</v>
      </c>
      <c r="K10" s="55">
        <v>366602</v>
      </c>
      <c r="L10" s="55">
        <v>391317</v>
      </c>
      <c r="M10" s="55">
        <v>337810</v>
      </c>
      <c r="N10" s="55">
        <v>444951</v>
      </c>
      <c r="O10" s="55">
        <v>415951</v>
      </c>
      <c r="P10" s="55">
        <v>370821</v>
      </c>
      <c r="Q10" s="55">
        <v>361320</v>
      </c>
      <c r="R10" s="55">
        <v>424757</v>
      </c>
      <c r="S10" s="55">
        <v>359003</v>
      </c>
      <c r="T10" s="55">
        <v>361019</v>
      </c>
      <c r="U10" s="55">
        <v>332387</v>
      </c>
      <c r="V10" s="55">
        <v>314085</v>
      </c>
      <c r="W10" s="55">
        <v>411381</v>
      </c>
      <c r="X10" s="55">
        <v>356834</v>
      </c>
      <c r="Y10" s="55">
        <v>450497</v>
      </c>
      <c r="Z10" s="55">
        <v>459030</v>
      </c>
      <c r="AA10" s="55">
        <v>516412</v>
      </c>
      <c r="AB10" s="55">
        <v>623362</v>
      </c>
      <c r="AC10" s="55">
        <v>662589</v>
      </c>
      <c r="AD10" s="55">
        <v>663930</v>
      </c>
      <c r="AE10" s="55">
        <v>654845</v>
      </c>
      <c r="AF10" s="55">
        <v>581691</v>
      </c>
    </row>
    <row r="11" spans="1:34" x14ac:dyDescent="0.25">
      <c r="B11" t="s">
        <v>159</v>
      </c>
      <c r="C11" s="98">
        <f>SUM($C$10:C10)</f>
        <v>200657</v>
      </c>
      <c r="D11" s="98">
        <f>SUM($C$10:D10)</f>
        <v>484807</v>
      </c>
      <c r="E11" s="98">
        <f>SUM($C$10:E10)</f>
        <v>724532</v>
      </c>
      <c r="F11" s="98">
        <f>SUM($C$10:F10)</f>
        <v>947349</v>
      </c>
      <c r="G11" s="98">
        <f>SUM($C$10:G10)</f>
        <v>1204160</v>
      </c>
      <c r="H11" s="98">
        <f>SUM($C$10:H10)</f>
        <v>1428726</v>
      </c>
      <c r="I11" s="98">
        <f>SUM($C$10:I10)</f>
        <v>1748998</v>
      </c>
      <c r="J11" s="98">
        <f>SUM($C$10:J10)</f>
        <v>2090701</v>
      </c>
      <c r="K11" s="98">
        <f>SUM($C$10:K10)</f>
        <v>2457303</v>
      </c>
      <c r="L11" s="98">
        <f>SUM($C$10:L10)</f>
        <v>2848620</v>
      </c>
      <c r="M11" s="98">
        <f>SUM($C$10:M10)</f>
        <v>3186430</v>
      </c>
      <c r="N11" s="98">
        <f>SUM($C$10:N10)</f>
        <v>3631381</v>
      </c>
      <c r="O11" s="98">
        <f>SUM($C$10:O10)</f>
        <v>4047332</v>
      </c>
      <c r="P11" s="98">
        <f>SUM($C$10:P10)</f>
        <v>4418153</v>
      </c>
      <c r="Q11" s="98">
        <f>SUM($C$10:Q10)</f>
        <v>4779473</v>
      </c>
      <c r="R11" s="98">
        <f>SUM($C$10:R10)</f>
        <v>5204230</v>
      </c>
      <c r="S11" s="98">
        <f>SUM($C$10:S10)</f>
        <v>5563233</v>
      </c>
      <c r="T11" s="98">
        <f>SUM($C$10:T10)</f>
        <v>5924252</v>
      </c>
      <c r="U11" s="98">
        <f>SUM($C$10:U10)</f>
        <v>6256639</v>
      </c>
      <c r="V11" s="98">
        <f>SUM($C$10:V10)</f>
        <v>6570724</v>
      </c>
      <c r="W11" s="98">
        <f>SUM($C$10:W10)</f>
        <v>6982105</v>
      </c>
      <c r="X11" s="98">
        <f>SUM($C$10:X10)</f>
        <v>7338939</v>
      </c>
      <c r="Y11" s="98">
        <f>SUM($C$10:Y10)</f>
        <v>7789436</v>
      </c>
      <c r="Z11" s="98">
        <f>SUM($C$10:Z10)</f>
        <v>8248466</v>
      </c>
      <c r="AA11" s="98">
        <f>SUM($C$10:AA10)</f>
        <v>8764878</v>
      </c>
      <c r="AB11" s="98">
        <f>SUM($C$10:AB10)</f>
        <v>9388240</v>
      </c>
      <c r="AC11" s="98">
        <f>SUM($C$10:AC10)</f>
        <v>10050829</v>
      </c>
      <c r="AD11" s="98">
        <f>SUM($C$10:AD10)</f>
        <v>10714759</v>
      </c>
      <c r="AE11" s="98">
        <f>SUM($C$10:AE10)</f>
        <v>11369604</v>
      </c>
      <c r="AF11" s="98">
        <f>SUM($C$10:AF10)</f>
        <v>11951295</v>
      </c>
    </row>
    <row r="12" spans="1:34" x14ac:dyDescent="0.25">
      <c r="C12" s="122">
        <f>C11/$AF$11</f>
        <v>1.6789561298587309E-2</v>
      </c>
      <c r="D12" s="122">
        <f t="shared" ref="D12:AF12" si="0">D11/$AF$11</f>
        <v>4.0565227450247023E-2</v>
      </c>
      <c r="E12" s="122">
        <f t="shared" si="0"/>
        <v>6.0623723203217725E-2</v>
      </c>
      <c r="F12" s="122">
        <f t="shared" si="0"/>
        <v>7.9267476871753229E-2</v>
      </c>
      <c r="G12" s="122">
        <f t="shared" si="0"/>
        <v>0.10075560849263615</v>
      </c>
      <c r="H12" s="122">
        <f t="shared" si="0"/>
        <v>0.11954570613477451</v>
      </c>
      <c r="I12" s="122">
        <f t="shared" si="0"/>
        <v>0.14634380625697885</v>
      </c>
      <c r="J12" s="122">
        <f t="shared" si="0"/>
        <v>0.17493510117522829</v>
      </c>
      <c r="K12" s="122">
        <f t="shared" si="0"/>
        <v>0.20560976864850211</v>
      </c>
      <c r="L12" s="122">
        <f t="shared" si="0"/>
        <v>0.23835241285567799</v>
      </c>
      <c r="M12" s="122">
        <f t="shared" si="0"/>
        <v>0.26661796901507329</v>
      </c>
      <c r="N12" s="122">
        <f t="shared" si="0"/>
        <v>0.30384832773352177</v>
      </c>
      <c r="O12" s="122">
        <f t="shared" si="0"/>
        <v>0.33865217116638824</v>
      </c>
      <c r="P12" s="122">
        <f t="shared" si="0"/>
        <v>0.3696798547772438</v>
      </c>
      <c r="Q12" s="122">
        <f t="shared" si="0"/>
        <v>0.39991256177677814</v>
      </c>
      <c r="R12" s="122">
        <f t="shared" si="0"/>
        <v>0.43545322912705275</v>
      </c>
      <c r="S12" s="122">
        <f t="shared" si="0"/>
        <v>0.4654920659225632</v>
      </c>
      <c r="T12" s="122">
        <f t="shared" si="0"/>
        <v>0.49569958736689201</v>
      </c>
      <c r="U12" s="122">
        <f t="shared" si="0"/>
        <v>0.52351138516788343</v>
      </c>
      <c r="V12" s="122">
        <f t="shared" si="0"/>
        <v>0.54979180080485002</v>
      </c>
      <c r="W12" s="122">
        <f t="shared" si="0"/>
        <v>0.58421325889788511</v>
      </c>
      <c r="X12" s="122">
        <f t="shared" si="0"/>
        <v>0.61407060908462219</v>
      </c>
      <c r="Y12" s="122">
        <f t="shared" si="0"/>
        <v>0.65176501793320307</v>
      </c>
      <c r="Z12" s="122">
        <f t="shared" si="0"/>
        <v>0.6901734079863312</v>
      </c>
      <c r="AA12" s="122">
        <f t="shared" si="0"/>
        <v>0.7333831187331582</v>
      </c>
      <c r="AB12" s="122">
        <f t="shared" si="0"/>
        <v>0.78554165050732994</v>
      </c>
      <c r="AC12" s="122">
        <f t="shared" si="0"/>
        <v>0.84098242073348539</v>
      </c>
      <c r="AD12" s="122">
        <f t="shared" si="0"/>
        <v>0.89653539637336377</v>
      </c>
      <c r="AE12" s="122">
        <f t="shared" si="0"/>
        <v>0.95132820334532786</v>
      </c>
      <c r="AF12" s="122">
        <f t="shared" si="0"/>
        <v>1</v>
      </c>
    </row>
    <row r="13" spans="1:34" x14ac:dyDescent="0.25">
      <c r="C13">
        <f>C6-2025</f>
        <v>-30</v>
      </c>
      <c r="D13">
        <f t="shared" ref="D13:AF13" si="1">D6-2025</f>
        <v>-29</v>
      </c>
      <c r="E13">
        <f t="shared" si="1"/>
        <v>-28</v>
      </c>
      <c r="F13">
        <f t="shared" si="1"/>
        <v>-27</v>
      </c>
      <c r="G13">
        <f t="shared" si="1"/>
        <v>-26</v>
      </c>
      <c r="H13">
        <f t="shared" si="1"/>
        <v>-25</v>
      </c>
      <c r="I13">
        <f t="shared" si="1"/>
        <v>-24</v>
      </c>
      <c r="J13">
        <f t="shared" si="1"/>
        <v>-23</v>
      </c>
      <c r="K13">
        <f t="shared" si="1"/>
        <v>-22</v>
      </c>
      <c r="L13">
        <f t="shared" si="1"/>
        <v>-21</v>
      </c>
      <c r="M13">
        <f t="shared" si="1"/>
        <v>-20</v>
      </c>
      <c r="N13">
        <f t="shared" si="1"/>
        <v>-19</v>
      </c>
      <c r="O13">
        <f t="shared" si="1"/>
        <v>-18</v>
      </c>
      <c r="P13">
        <f t="shared" si="1"/>
        <v>-17</v>
      </c>
      <c r="Q13">
        <f t="shared" si="1"/>
        <v>-16</v>
      </c>
      <c r="R13">
        <f t="shared" si="1"/>
        <v>-15</v>
      </c>
      <c r="S13">
        <f t="shared" si="1"/>
        <v>-14</v>
      </c>
      <c r="T13">
        <f t="shared" si="1"/>
        <v>-13</v>
      </c>
      <c r="U13">
        <f t="shared" si="1"/>
        <v>-12</v>
      </c>
      <c r="V13">
        <f t="shared" si="1"/>
        <v>-11</v>
      </c>
      <c r="W13">
        <f t="shared" si="1"/>
        <v>-10</v>
      </c>
      <c r="X13">
        <f t="shared" si="1"/>
        <v>-9</v>
      </c>
      <c r="Y13">
        <f t="shared" si="1"/>
        <v>-8</v>
      </c>
      <c r="Z13">
        <f t="shared" si="1"/>
        <v>-7</v>
      </c>
      <c r="AA13">
        <f t="shared" si="1"/>
        <v>-6</v>
      </c>
      <c r="AB13">
        <f t="shared" si="1"/>
        <v>-5</v>
      </c>
      <c r="AC13">
        <f t="shared" si="1"/>
        <v>-4</v>
      </c>
      <c r="AD13">
        <f t="shared" si="1"/>
        <v>-3</v>
      </c>
      <c r="AE13">
        <f t="shared" si="1"/>
        <v>-2</v>
      </c>
      <c r="AF13">
        <f t="shared" si="1"/>
        <v>-1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A830-0F50-476B-A7E0-AA373F12B5AF}">
  <sheetPr>
    <tabColor theme="2" tint="-0.249977111117893"/>
  </sheetPr>
  <dimension ref="A1:AH13"/>
  <sheetViews>
    <sheetView workbookViewId="0">
      <selection activeCell="N24" sqref="N24"/>
    </sheetView>
  </sheetViews>
  <sheetFormatPr defaultRowHeight="15" x14ac:dyDescent="0.25"/>
  <cols>
    <col min="2" max="121" width="13.140625" customWidth="1"/>
  </cols>
  <sheetData>
    <row r="1" spans="1:34" x14ac:dyDescent="0.25">
      <c r="A1" t="s">
        <v>109</v>
      </c>
      <c r="G1" t="s">
        <v>152</v>
      </c>
    </row>
    <row r="2" spans="1:34" x14ac:dyDescent="0.25">
      <c r="A2" t="s">
        <v>55</v>
      </c>
    </row>
    <row r="3" spans="1:34" x14ac:dyDescent="0.25">
      <c r="A3" t="s">
        <v>110</v>
      </c>
      <c r="B3" t="s">
        <v>92</v>
      </c>
      <c r="C3" t="s">
        <v>94</v>
      </c>
      <c r="D3" t="s">
        <v>111</v>
      </c>
      <c r="E3" t="s">
        <v>112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M3" t="s">
        <v>120</v>
      </c>
      <c r="N3" t="s">
        <v>121</v>
      </c>
      <c r="O3" t="s">
        <v>122</v>
      </c>
      <c r="P3" t="s">
        <v>123</v>
      </c>
      <c r="Q3" t="s">
        <v>124</v>
      </c>
      <c r="R3" t="s">
        <v>125</v>
      </c>
      <c r="S3" t="s">
        <v>126</v>
      </c>
      <c r="T3" t="s">
        <v>127</v>
      </c>
      <c r="U3" t="s">
        <v>128</v>
      </c>
      <c r="V3" t="s">
        <v>129</v>
      </c>
      <c r="W3" t="s">
        <v>130</v>
      </c>
      <c r="X3" t="s">
        <v>131</v>
      </c>
      <c r="Y3" t="s">
        <v>132</v>
      </c>
      <c r="Z3" t="s">
        <v>133</v>
      </c>
      <c r="AA3" t="s">
        <v>134</v>
      </c>
      <c r="AB3" t="s">
        <v>135</v>
      </c>
      <c r="AC3" t="s">
        <v>136</v>
      </c>
      <c r="AD3" t="s">
        <v>137</v>
      </c>
      <c r="AE3" t="s">
        <v>138</v>
      </c>
      <c r="AF3" t="s">
        <v>139</v>
      </c>
      <c r="AG3" t="s">
        <v>140</v>
      </c>
      <c r="AH3" t="s">
        <v>141</v>
      </c>
    </row>
    <row r="5" spans="1:34" x14ac:dyDescent="0.25">
      <c r="A5" t="s">
        <v>57</v>
      </c>
      <c r="B5" t="s">
        <v>58</v>
      </c>
      <c r="C5" t="s">
        <v>59</v>
      </c>
    </row>
    <row r="6" spans="1:34" x14ac:dyDescent="0.25">
      <c r="C6">
        <v>1995</v>
      </c>
      <c r="D6">
        <v>1996</v>
      </c>
      <c r="E6">
        <v>1997</v>
      </c>
      <c r="F6">
        <v>1998</v>
      </c>
      <c r="G6">
        <v>1999</v>
      </c>
      <c r="H6">
        <v>2000</v>
      </c>
      <c r="I6">
        <v>2001</v>
      </c>
      <c r="J6">
        <v>2002</v>
      </c>
      <c r="K6">
        <v>2003</v>
      </c>
      <c r="L6">
        <v>2004</v>
      </c>
      <c r="M6">
        <v>2005</v>
      </c>
      <c r="N6">
        <v>2006</v>
      </c>
      <c r="O6">
        <v>2007</v>
      </c>
      <c r="P6">
        <v>2008</v>
      </c>
      <c r="Q6">
        <v>2009</v>
      </c>
      <c r="R6">
        <v>2010</v>
      </c>
      <c r="S6">
        <v>2011</v>
      </c>
      <c r="T6">
        <v>2012</v>
      </c>
      <c r="U6">
        <v>2013</v>
      </c>
      <c r="V6">
        <v>2014</v>
      </c>
      <c r="W6">
        <v>2015</v>
      </c>
      <c r="X6">
        <v>2016</v>
      </c>
      <c r="Y6">
        <v>2017</v>
      </c>
      <c r="Z6">
        <v>2018</v>
      </c>
      <c r="AA6">
        <v>2019</v>
      </c>
      <c r="AB6">
        <v>2020</v>
      </c>
      <c r="AC6">
        <v>2021</v>
      </c>
      <c r="AD6">
        <v>2022</v>
      </c>
      <c r="AE6">
        <v>2023</v>
      </c>
      <c r="AF6">
        <v>2024</v>
      </c>
    </row>
    <row r="7" spans="1:34" x14ac:dyDescent="0.25">
      <c r="B7" t="s">
        <v>153</v>
      </c>
      <c r="C7" s="55">
        <v>157888</v>
      </c>
      <c r="D7" s="55">
        <v>239409</v>
      </c>
      <c r="E7" s="55">
        <v>191521</v>
      </c>
      <c r="F7" s="55">
        <v>170710</v>
      </c>
      <c r="G7" s="55">
        <v>202375</v>
      </c>
      <c r="H7" s="55">
        <v>166528</v>
      </c>
      <c r="I7" s="55">
        <v>258183</v>
      </c>
      <c r="J7" s="55">
        <v>275116</v>
      </c>
      <c r="K7" s="55">
        <v>294141</v>
      </c>
      <c r="L7" s="55">
        <v>316921</v>
      </c>
      <c r="M7" s="55">
        <v>257850</v>
      </c>
      <c r="N7" s="55">
        <v>359280</v>
      </c>
      <c r="O7" s="55">
        <v>325512</v>
      </c>
      <c r="P7" s="55">
        <v>274408</v>
      </c>
      <c r="Q7" s="55">
        <v>258716</v>
      </c>
      <c r="R7" s="55">
        <v>317937</v>
      </c>
      <c r="S7" s="55">
        <v>246652</v>
      </c>
      <c r="T7" s="55">
        <v>240283</v>
      </c>
      <c r="U7" s="55">
        <v>204536</v>
      </c>
      <c r="V7" s="55">
        <v>178857</v>
      </c>
      <c r="W7" s="55">
        <v>263480</v>
      </c>
      <c r="X7" s="55">
        <v>205964</v>
      </c>
      <c r="Y7" s="55">
        <v>286435</v>
      </c>
      <c r="Z7" s="55">
        <v>288723</v>
      </c>
      <c r="AA7" s="55">
        <v>333001</v>
      </c>
      <c r="AB7" s="55">
        <v>412036</v>
      </c>
      <c r="AC7" s="55">
        <v>437454</v>
      </c>
      <c r="AD7" s="55">
        <v>426437</v>
      </c>
      <c r="AE7" s="55">
        <v>417382</v>
      </c>
      <c r="AF7" s="55">
        <v>366289</v>
      </c>
    </row>
    <row r="8" spans="1:34" x14ac:dyDescent="0.25">
      <c r="B8" t="s">
        <v>157</v>
      </c>
      <c r="C8" s="55">
        <v>4506</v>
      </c>
      <c r="D8" s="55">
        <v>4514</v>
      </c>
      <c r="E8" s="55">
        <v>4896</v>
      </c>
      <c r="F8" s="55">
        <v>5219</v>
      </c>
      <c r="G8" s="55">
        <v>5462</v>
      </c>
      <c r="H8" s="55">
        <v>6361</v>
      </c>
      <c r="I8" s="55">
        <v>7032</v>
      </c>
      <c r="J8" s="55">
        <v>7860</v>
      </c>
      <c r="K8" s="55">
        <v>8619</v>
      </c>
      <c r="L8" s="55">
        <v>9606</v>
      </c>
      <c r="M8" s="55">
        <v>10283</v>
      </c>
      <c r="N8" s="55">
        <v>11876</v>
      </c>
      <c r="O8" s="55">
        <v>12503</v>
      </c>
      <c r="P8" s="55">
        <v>13139</v>
      </c>
      <c r="Q8" s="55">
        <v>13548</v>
      </c>
      <c r="R8" s="55">
        <v>13325</v>
      </c>
      <c r="S8" s="55">
        <v>12770</v>
      </c>
      <c r="T8" s="55">
        <v>13627</v>
      </c>
      <c r="U8" s="55">
        <v>15606</v>
      </c>
      <c r="V8" s="55">
        <v>17117</v>
      </c>
      <c r="W8" s="55">
        <v>18307</v>
      </c>
      <c r="X8" s="55">
        <v>19151</v>
      </c>
      <c r="Y8" s="55">
        <v>20219</v>
      </c>
      <c r="Z8" s="55">
        <v>21638</v>
      </c>
      <c r="AA8" s="55">
        <v>26249</v>
      </c>
      <c r="AB8" s="55">
        <v>24413</v>
      </c>
      <c r="AC8" s="55">
        <v>29117</v>
      </c>
      <c r="AD8" s="55">
        <v>38959</v>
      </c>
      <c r="AE8" s="55">
        <v>46825</v>
      </c>
      <c r="AF8" s="55">
        <v>44025</v>
      </c>
    </row>
    <row r="9" spans="1:34" x14ac:dyDescent="0.25">
      <c r="B9" t="s">
        <v>150</v>
      </c>
      <c r="C9" s="55">
        <v>38263</v>
      </c>
      <c r="D9" s="55">
        <v>40227</v>
      </c>
      <c r="E9" s="55">
        <v>43308</v>
      </c>
      <c r="F9" s="55">
        <v>46888</v>
      </c>
      <c r="G9" s="55">
        <v>48974</v>
      </c>
      <c r="H9" s="55">
        <v>51677</v>
      </c>
      <c r="I9" s="55">
        <v>55057</v>
      </c>
      <c r="J9" s="55">
        <v>58727</v>
      </c>
      <c r="K9" s="55">
        <v>63842</v>
      </c>
      <c r="L9" s="55">
        <v>64790</v>
      </c>
      <c r="M9" s="55">
        <v>69677</v>
      </c>
      <c r="N9" s="55">
        <v>73795</v>
      </c>
      <c r="O9" s="55">
        <v>77936</v>
      </c>
      <c r="P9" s="55">
        <v>83274</v>
      </c>
      <c r="Q9" s="55">
        <v>89056</v>
      </c>
      <c r="R9" s="55">
        <v>93495</v>
      </c>
      <c r="S9" s="55">
        <v>99581</v>
      </c>
      <c r="T9" s="55">
        <v>107109</v>
      </c>
      <c r="U9" s="55">
        <v>112245</v>
      </c>
      <c r="V9" s="55">
        <v>118111</v>
      </c>
      <c r="W9" s="55">
        <v>129594</v>
      </c>
      <c r="X9" s="55">
        <v>131719</v>
      </c>
      <c r="Y9" s="55">
        <v>143843</v>
      </c>
      <c r="Z9" s="55">
        <v>148669</v>
      </c>
      <c r="AA9" s="55">
        <v>157162</v>
      </c>
      <c r="AB9" s="55">
        <v>186913</v>
      </c>
      <c r="AC9" s="55">
        <v>196018</v>
      </c>
      <c r="AD9" s="55">
        <v>198534</v>
      </c>
      <c r="AE9" s="55">
        <v>190638</v>
      </c>
      <c r="AF9" s="55">
        <v>171377</v>
      </c>
    </row>
    <row r="10" spans="1:34" x14ac:dyDescent="0.25">
      <c r="B10" t="s">
        <v>44</v>
      </c>
      <c r="C10" s="55">
        <v>200657</v>
      </c>
      <c r="D10" s="55">
        <v>284150</v>
      </c>
      <c r="E10" s="55">
        <v>239725</v>
      </c>
      <c r="F10" s="55">
        <v>222817</v>
      </c>
      <c r="G10" s="55">
        <v>256811</v>
      </c>
      <c r="H10" s="55">
        <v>224566</v>
      </c>
      <c r="I10" s="55">
        <v>320272</v>
      </c>
      <c r="J10" s="55">
        <v>341703</v>
      </c>
      <c r="K10" s="55">
        <v>366602</v>
      </c>
      <c r="L10" s="55">
        <v>391317</v>
      </c>
      <c r="M10" s="55">
        <v>337810</v>
      </c>
      <c r="N10" s="55">
        <v>444951</v>
      </c>
      <c r="O10" s="55">
        <v>415951</v>
      </c>
      <c r="P10" s="55">
        <v>370821</v>
      </c>
      <c r="Q10" s="55">
        <v>361320</v>
      </c>
      <c r="R10" s="55">
        <v>424757</v>
      </c>
      <c r="S10" s="55">
        <v>359003</v>
      </c>
      <c r="T10" s="55">
        <v>361019</v>
      </c>
      <c r="U10" s="55">
        <v>332387</v>
      </c>
      <c r="V10" s="55">
        <v>314085</v>
      </c>
      <c r="W10" s="55">
        <v>411381</v>
      </c>
      <c r="X10" s="55">
        <v>356834</v>
      </c>
      <c r="Y10" s="55">
        <v>450497</v>
      </c>
      <c r="Z10" s="55">
        <v>459030</v>
      </c>
      <c r="AA10" s="55">
        <v>516412</v>
      </c>
      <c r="AB10" s="55">
        <v>623362</v>
      </c>
      <c r="AC10" s="55">
        <v>662589</v>
      </c>
      <c r="AD10" s="55">
        <v>663930</v>
      </c>
      <c r="AE10" s="55">
        <v>654845</v>
      </c>
      <c r="AF10" s="55">
        <v>581691</v>
      </c>
    </row>
    <row r="11" spans="1:34" x14ac:dyDescent="0.25">
      <c r="B11" t="s">
        <v>164</v>
      </c>
      <c r="C11" s="98">
        <f>SUM($C$7:C7)</f>
        <v>157888</v>
      </c>
      <c r="D11" s="98">
        <f>SUM($C$7:D7)</f>
        <v>397297</v>
      </c>
      <c r="E11" s="98">
        <f>SUM($C$7:E7)</f>
        <v>588818</v>
      </c>
      <c r="F11" s="98">
        <f>SUM($C$7:F7)</f>
        <v>759528</v>
      </c>
      <c r="G11" s="98">
        <f>SUM($C$7:G7)</f>
        <v>961903</v>
      </c>
      <c r="H11" s="98">
        <f>SUM($C$7:H7)</f>
        <v>1128431</v>
      </c>
      <c r="I11" s="98">
        <f>SUM($C$7:I7)</f>
        <v>1386614</v>
      </c>
      <c r="J11" s="98">
        <f>SUM($C$7:J7)</f>
        <v>1661730</v>
      </c>
      <c r="K11" s="98">
        <f>SUM($C$7:K7)</f>
        <v>1955871</v>
      </c>
      <c r="L11" s="98">
        <f>SUM($C$7:L7)</f>
        <v>2272792</v>
      </c>
      <c r="M11" s="98">
        <f>SUM($C$7:M7)</f>
        <v>2530642</v>
      </c>
      <c r="N11" s="98">
        <f>SUM($C$7:N7)</f>
        <v>2889922</v>
      </c>
      <c r="O11" s="98">
        <f>SUM($C$7:O7)</f>
        <v>3215434</v>
      </c>
      <c r="P11" s="98">
        <f>SUM($C$7:P7)</f>
        <v>3489842</v>
      </c>
      <c r="Q11" s="98">
        <f>SUM($C$7:Q7)</f>
        <v>3748558</v>
      </c>
      <c r="R11" s="98">
        <f>SUM($C$7:R7)</f>
        <v>4066495</v>
      </c>
      <c r="S11" s="98">
        <f>SUM($C$7:S7)</f>
        <v>4313147</v>
      </c>
      <c r="T11" s="98">
        <f>SUM($C$7:T7)</f>
        <v>4553430</v>
      </c>
      <c r="U11" s="98">
        <f>SUM($C$7:U7)</f>
        <v>4757966</v>
      </c>
      <c r="V11" s="98">
        <f>SUM($C$7:V7)</f>
        <v>4936823</v>
      </c>
      <c r="W11" s="98">
        <f>SUM($C$7:W7)</f>
        <v>5200303</v>
      </c>
      <c r="X11" s="98">
        <f>SUM($C$7:X7)</f>
        <v>5406267</v>
      </c>
      <c r="Y11" s="98">
        <f>SUM($C$7:Y7)</f>
        <v>5692702</v>
      </c>
      <c r="Z11" s="98">
        <f>SUM($C$7:Z7)</f>
        <v>5981425</v>
      </c>
      <c r="AA11" s="98">
        <f>SUM($C$7:AA7)</f>
        <v>6314426</v>
      </c>
      <c r="AB11" s="98">
        <f>SUM($C$7:AB7)</f>
        <v>6726462</v>
      </c>
      <c r="AC11" s="98">
        <f>SUM($C$7:AC7)</f>
        <v>7163916</v>
      </c>
      <c r="AD11" s="98">
        <f>SUM($C$7:AD7)</f>
        <v>7590353</v>
      </c>
      <c r="AE11" s="98">
        <f>SUM($C$7:AE7)</f>
        <v>8007735</v>
      </c>
      <c r="AF11" s="98">
        <f>SUM($C$7:AF7)</f>
        <v>8374024</v>
      </c>
    </row>
    <row r="12" spans="1:34" x14ac:dyDescent="0.25">
      <c r="C12" s="122">
        <f>C11/$AF$11</f>
        <v>1.8854495759744658E-2</v>
      </c>
      <c r="D12" s="122">
        <f t="shared" ref="D12:AF12" si="0">D11/$AF$11</f>
        <v>4.7443976754783602E-2</v>
      </c>
      <c r="E12" s="122">
        <f t="shared" si="0"/>
        <v>7.0314821166024846E-2</v>
      </c>
      <c r="F12" s="122">
        <f t="shared" si="0"/>
        <v>9.0700480438078518E-2</v>
      </c>
      <c r="G12" s="122">
        <f t="shared" si="0"/>
        <v>0.11486747589928092</v>
      </c>
      <c r="H12" s="122">
        <f t="shared" si="0"/>
        <v>0.13475373368884541</v>
      </c>
      <c r="I12" s="122">
        <f t="shared" si="0"/>
        <v>0.1655851475945137</v>
      </c>
      <c r="J12" s="122">
        <f t="shared" si="0"/>
        <v>0.19843864789496662</v>
      </c>
      <c r="K12" s="122">
        <f t="shared" si="0"/>
        <v>0.23356405474835037</v>
      </c>
      <c r="L12" s="122">
        <f t="shared" si="0"/>
        <v>0.27140977862017113</v>
      </c>
      <c r="M12" s="122">
        <f t="shared" si="0"/>
        <v>0.3022014266976068</v>
      </c>
      <c r="N12" s="122">
        <f t="shared" si="0"/>
        <v>0.34510553110428155</v>
      </c>
      <c r="O12" s="122">
        <f t="shared" si="0"/>
        <v>0.38397716557774375</v>
      </c>
      <c r="P12" s="122">
        <f t="shared" si="0"/>
        <v>0.41674611871186423</v>
      </c>
      <c r="Q12" s="122">
        <f t="shared" si="0"/>
        <v>0.44764118182608503</v>
      </c>
      <c r="R12" s="122">
        <f t="shared" si="0"/>
        <v>0.48560823326993091</v>
      </c>
      <c r="S12" s="122">
        <f t="shared" si="0"/>
        <v>0.5150626508832552</v>
      </c>
      <c r="T12" s="122">
        <f t="shared" si="0"/>
        <v>0.54375650225029204</v>
      </c>
      <c r="U12" s="122">
        <f t="shared" si="0"/>
        <v>0.5681815576358511</v>
      </c>
      <c r="V12" s="122">
        <f t="shared" si="0"/>
        <v>0.58954010640523602</v>
      </c>
      <c r="W12" s="122">
        <f t="shared" si="0"/>
        <v>0.62100407163867699</v>
      </c>
      <c r="X12" s="122">
        <f t="shared" si="0"/>
        <v>0.64559965435972</v>
      </c>
      <c r="Y12" s="122">
        <f t="shared" si="0"/>
        <v>0.6798048345693779</v>
      </c>
      <c r="Z12" s="122">
        <f t="shared" si="0"/>
        <v>0.71428324064989546</v>
      </c>
      <c r="AA12" s="122">
        <f t="shared" si="0"/>
        <v>0.75404918829943646</v>
      </c>
      <c r="AB12" s="122">
        <f t="shared" si="0"/>
        <v>0.80325325076689535</v>
      </c>
      <c r="AC12" s="122">
        <f t="shared" si="0"/>
        <v>0.85549265203921077</v>
      </c>
      <c r="AD12" s="122">
        <f t="shared" si="0"/>
        <v>0.90641643730660437</v>
      </c>
      <c r="AE12" s="122">
        <f t="shared" si="0"/>
        <v>0.95625890253001422</v>
      </c>
      <c r="AF12" s="122">
        <f t="shared" si="0"/>
        <v>1</v>
      </c>
    </row>
    <row r="13" spans="1:34" x14ac:dyDescent="0.25">
      <c r="C13">
        <f>C6-2025</f>
        <v>-30</v>
      </c>
      <c r="D13">
        <f t="shared" ref="D13:AF13" si="1">D6-2025</f>
        <v>-29</v>
      </c>
      <c r="E13">
        <f t="shared" si="1"/>
        <v>-28</v>
      </c>
      <c r="F13">
        <f t="shared" si="1"/>
        <v>-27</v>
      </c>
      <c r="G13">
        <f t="shared" si="1"/>
        <v>-26</v>
      </c>
      <c r="H13">
        <f t="shared" si="1"/>
        <v>-25</v>
      </c>
      <c r="I13">
        <f t="shared" si="1"/>
        <v>-24</v>
      </c>
      <c r="J13">
        <f t="shared" si="1"/>
        <v>-23</v>
      </c>
      <c r="K13">
        <f t="shared" si="1"/>
        <v>-22</v>
      </c>
      <c r="L13">
        <f t="shared" si="1"/>
        <v>-21</v>
      </c>
      <c r="M13">
        <f t="shared" si="1"/>
        <v>-20</v>
      </c>
      <c r="N13">
        <f t="shared" si="1"/>
        <v>-19</v>
      </c>
      <c r="O13">
        <f t="shared" si="1"/>
        <v>-18</v>
      </c>
      <c r="P13">
        <f t="shared" si="1"/>
        <v>-17</v>
      </c>
      <c r="Q13">
        <f t="shared" si="1"/>
        <v>-16</v>
      </c>
      <c r="R13">
        <f t="shared" si="1"/>
        <v>-15</v>
      </c>
      <c r="S13">
        <f t="shared" si="1"/>
        <v>-14</v>
      </c>
      <c r="T13">
        <f t="shared" si="1"/>
        <v>-13</v>
      </c>
      <c r="U13">
        <f t="shared" si="1"/>
        <v>-12</v>
      </c>
      <c r="V13">
        <f t="shared" si="1"/>
        <v>-11</v>
      </c>
      <c r="W13">
        <f t="shared" si="1"/>
        <v>-10</v>
      </c>
      <c r="X13">
        <f t="shared" si="1"/>
        <v>-9</v>
      </c>
      <c r="Y13">
        <f t="shared" si="1"/>
        <v>-8</v>
      </c>
      <c r="Z13">
        <f t="shared" si="1"/>
        <v>-7</v>
      </c>
      <c r="AA13">
        <f t="shared" si="1"/>
        <v>-6</v>
      </c>
      <c r="AB13">
        <f t="shared" si="1"/>
        <v>-5</v>
      </c>
      <c r="AC13">
        <f t="shared" si="1"/>
        <v>-4</v>
      </c>
      <c r="AD13">
        <f t="shared" si="1"/>
        <v>-3</v>
      </c>
      <c r="AE13">
        <f t="shared" si="1"/>
        <v>-2</v>
      </c>
      <c r="AF13">
        <f t="shared" si="1"/>
        <v>-1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4EF9-39A5-4E35-9F26-37BD805AB138}">
  <sheetPr>
    <tabColor theme="0" tint="-0.249977111117893"/>
  </sheetPr>
  <dimension ref="A1:BJ10"/>
  <sheetViews>
    <sheetView workbookViewId="0">
      <selection activeCell="N24" sqref="N24"/>
    </sheetView>
  </sheetViews>
  <sheetFormatPr defaultRowHeight="15" x14ac:dyDescent="0.25"/>
  <cols>
    <col min="2" max="91" width="13.140625" customWidth="1"/>
  </cols>
  <sheetData>
    <row r="1" spans="1:62" x14ac:dyDescent="0.25">
      <c r="A1" t="s">
        <v>109</v>
      </c>
    </row>
    <row r="2" spans="1:62" x14ac:dyDescent="0.25">
      <c r="A2" t="s">
        <v>55</v>
      </c>
    </row>
    <row r="3" spans="1:62" x14ac:dyDescent="0.25">
      <c r="A3" t="s">
        <v>110</v>
      </c>
      <c r="B3" t="s">
        <v>92</v>
      </c>
      <c r="C3" t="s">
        <v>94</v>
      </c>
      <c r="D3" t="s">
        <v>112</v>
      </c>
      <c r="E3" t="s">
        <v>114</v>
      </c>
      <c r="F3" t="s">
        <v>116</v>
      </c>
      <c r="G3" t="s">
        <v>118</v>
      </c>
      <c r="H3" t="s">
        <v>120</v>
      </c>
      <c r="I3" t="s">
        <v>122</v>
      </c>
      <c r="J3" t="s">
        <v>124</v>
      </c>
      <c r="K3" t="s">
        <v>126</v>
      </c>
      <c r="L3" t="s">
        <v>128</v>
      </c>
      <c r="M3" t="s">
        <v>130</v>
      </c>
      <c r="N3" t="s">
        <v>132</v>
      </c>
      <c r="O3" t="s">
        <v>134</v>
      </c>
      <c r="P3" t="s">
        <v>136</v>
      </c>
      <c r="Q3" t="s">
        <v>138</v>
      </c>
      <c r="R3" t="s">
        <v>140</v>
      </c>
    </row>
    <row r="5" spans="1:62" x14ac:dyDescent="0.25">
      <c r="A5" t="s">
        <v>57</v>
      </c>
      <c r="B5" t="s">
        <v>58</v>
      </c>
      <c r="C5" t="s">
        <v>59</v>
      </c>
    </row>
    <row r="6" spans="1:62" x14ac:dyDescent="0.25">
      <c r="C6">
        <v>1995</v>
      </c>
      <c r="D6">
        <v>1996</v>
      </c>
      <c r="E6">
        <v>1997</v>
      </c>
      <c r="F6">
        <v>1998</v>
      </c>
      <c r="G6">
        <v>1999</v>
      </c>
      <c r="H6">
        <v>2000</v>
      </c>
      <c r="I6">
        <v>2001</v>
      </c>
      <c r="J6">
        <v>2002</v>
      </c>
      <c r="K6">
        <v>2003</v>
      </c>
      <c r="L6">
        <v>2004</v>
      </c>
      <c r="M6">
        <v>2005</v>
      </c>
      <c r="N6">
        <v>2006</v>
      </c>
      <c r="O6">
        <v>2007</v>
      </c>
      <c r="P6">
        <v>2008</v>
      </c>
      <c r="Q6">
        <v>2009</v>
      </c>
      <c r="R6">
        <v>2010</v>
      </c>
      <c r="S6">
        <v>2011</v>
      </c>
      <c r="T6">
        <v>2012</v>
      </c>
      <c r="U6">
        <v>2013</v>
      </c>
      <c r="V6">
        <v>2014</v>
      </c>
      <c r="W6">
        <v>2015</v>
      </c>
      <c r="X6">
        <v>2016</v>
      </c>
      <c r="Y6">
        <v>2017</v>
      </c>
      <c r="Z6">
        <v>2018</v>
      </c>
      <c r="AA6">
        <v>2019</v>
      </c>
      <c r="AB6">
        <v>2020</v>
      </c>
      <c r="AC6">
        <v>2021</v>
      </c>
      <c r="AD6">
        <v>2022</v>
      </c>
      <c r="AE6">
        <v>2023</v>
      </c>
      <c r="AF6">
        <v>2024</v>
      </c>
      <c r="AG6" t="s">
        <v>142</v>
      </c>
      <c r="AH6" t="s">
        <v>50</v>
      </c>
      <c r="AI6" t="s">
        <v>50</v>
      </c>
      <c r="AJ6" t="s">
        <v>50</v>
      </c>
      <c r="AK6" t="s">
        <v>50</v>
      </c>
      <c r="AL6" t="s">
        <v>50</v>
      </c>
      <c r="AM6" t="s">
        <v>50</v>
      </c>
      <c r="AN6" t="s">
        <v>50</v>
      </c>
      <c r="AO6" t="s">
        <v>50</v>
      </c>
      <c r="AP6" t="s">
        <v>50</v>
      </c>
      <c r="AQ6" t="s">
        <v>50</v>
      </c>
      <c r="AR6" t="s">
        <v>50</v>
      </c>
      <c r="AS6" t="s">
        <v>50</v>
      </c>
      <c r="AT6" t="s">
        <v>50</v>
      </c>
      <c r="AU6" t="s">
        <v>50</v>
      </c>
      <c r="AV6" t="s">
        <v>50</v>
      </c>
      <c r="AW6" t="s">
        <v>50</v>
      </c>
      <c r="AX6" t="s">
        <v>50</v>
      </c>
      <c r="AY6" t="s">
        <v>50</v>
      </c>
      <c r="AZ6" t="s">
        <v>50</v>
      </c>
      <c r="BA6" t="s">
        <v>50</v>
      </c>
      <c r="BB6" t="s">
        <v>50</v>
      </c>
      <c r="BC6" t="s">
        <v>50</v>
      </c>
      <c r="BD6" t="s">
        <v>50</v>
      </c>
      <c r="BE6" t="s">
        <v>50</v>
      </c>
      <c r="BF6" t="s">
        <v>50</v>
      </c>
      <c r="BG6" t="s">
        <v>50</v>
      </c>
      <c r="BH6" t="s">
        <v>50</v>
      </c>
      <c r="BI6" t="s">
        <v>50</v>
      </c>
      <c r="BJ6" t="s">
        <v>50</v>
      </c>
    </row>
    <row r="7" spans="1:62" x14ac:dyDescent="0.25">
      <c r="B7" t="s">
        <v>148</v>
      </c>
      <c r="C7">
        <v>1.7943686216648222</v>
      </c>
      <c r="D7">
        <v>1.7957779318167495</v>
      </c>
      <c r="E7">
        <v>1.71087137103982</v>
      </c>
      <c r="F7">
        <v>1.5937128530981866</v>
      </c>
      <c r="G7">
        <v>1.6133860828094515</v>
      </c>
      <c r="H7">
        <v>1.5960646551266675</v>
      </c>
      <c r="I7">
        <v>1.5444474148532321</v>
      </c>
      <c r="J7">
        <v>1.5067514069889367</v>
      </c>
      <c r="K7">
        <v>1.4726742193746691</v>
      </c>
      <c r="L7">
        <v>1.4301160520499887</v>
      </c>
      <c r="M7">
        <v>1.4211114607863351</v>
      </c>
      <c r="N7">
        <v>1.3827901889696799</v>
      </c>
      <c r="O7">
        <v>1.3638271642673023</v>
      </c>
      <c r="P7">
        <v>1.3117250797937641</v>
      </c>
      <c r="Q7">
        <v>1.2779048094844647</v>
      </c>
      <c r="R7">
        <v>1.259054054054054</v>
      </c>
      <c r="S7">
        <v>1.2292676900268711</v>
      </c>
      <c r="T7">
        <v>1.2153535485131746</v>
      </c>
      <c r="U7">
        <v>1.2131352528590003</v>
      </c>
      <c r="V7">
        <v>1.1959074689104439</v>
      </c>
      <c r="W7">
        <v>1.1827196670488811</v>
      </c>
      <c r="X7">
        <v>1.1803227398822229</v>
      </c>
      <c r="Y7">
        <v>1.1806389210918045</v>
      </c>
      <c r="Z7">
        <v>1.1672785127900838</v>
      </c>
      <c r="AA7">
        <v>1.1551882634428914</v>
      </c>
      <c r="AB7">
        <v>1.1518724041902442</v>
      </c>
      <c r="AC7">
        <v>1.1537646266882458</v>
      </c>
      <c r="AD7">
        <v>1.1308058899905571</v>
      </c>
      <c r="AE7">
        <v>1.0591192148297084</v>
      </c>
      <c r="AF7">
        <v>1.0113934461097798</v>
      </c>
    </row>
    <row r="8" spans="1:62" x14ac:dyDescent="0.25">
      <c r="B8" t="s">
        <v>157</v>
      </c>
      <c r="C8">
        <v>1.9307426348771879</v>
      </c>
      <c r="D8">
        <v>1.8999471758652398</v>
      </c>
      <c r="E8">
        <v>1.819012504007695</v>
      </c>
      <c r="F8">
        <v>1.8151173178246522</v>
      </c>
      <c r="G8">
        <v>1.7806139050580283</v>
      </c>
      <c r="H8">
        <v>1.7702721204860516</v>
      </c>
      <c r="I8">
        <v>1.7053766242224899</v>
      </c>
      <c r="J8">
        <v>1.6855611000759008</v>
      </c>
      <c r="K8">
        <v>1.6502037409789385</v>
      </c>
      <c r="L8">
        <v>1.6113986264362203</v>
      </c>
      <c r="M8">
        <v>1.5578898075184084</v>
      </c>
      <c r="N8">
        <v>1.5386297029702971</v>
      </c>
      <c r="O8">
        <v>1.513453127971097</v>
      </c>
      <c r="P8">
        <v>1.4882880875847364</v>
      </c>
      <c r="Q8">
        <v>1.4280249275004628</v>
      </c>
      <c r="R8">
        <v>1.4185314902058022</v>
      </c>
      <c r="S8">
        <v>1.3900205856146495</v>
      </c>
      <c r="T8">
        <v>1.3508741130860946</v>
      </c>
      <c r="U8">
        <v>1.302829215157943</v>
      </c>
      <c r="V8">
        <v>1.2825095437583107</v>
      </c>
      <c r="W8">
        <v>1.2763772846891672</v>
      </c>
      <c r="X8">
        <v>1.2743978616461837</v>
      </c>
      <c r="Y8">
        <v>1.2759686099305183</v>
      </c>
      <c r="Z8">
        <v>1.2620892524035012</v>
      </c>
      <c r="AA8">
        <v>1.2341598201031763</v>
      </c>
      <c r="AB8">
        <v>1.2058540005258085</v>
      </c>
      <c r="AC8">
        <v>1.2151692520615882</v>
      </c>
      <c r="AD8">
        <v>1.180571361872246</v>
      </c>
      <c r="AE8">
        <v>1.0785678085663017</v>
      </c>
      <c r="AF8">
        <v>1.0125911547138133</v>
      </c>
    </row>
    <row r="9" spans="1:62" x14ac:dyDescent="0.25">
      <c r="B9" t="s">
        <v>150</v>
      </c>
      <c r="C9">
        <v>1.7000641819098703</v>
      </c>
      <c r="D9">
        <v>1.5880442397095975</v>
      </c>
      <c r="E9">
        <v>1.5408046913178042</v>
      </c>
      <c r="F9">
        <v>1.532079801904455</v>
      </c>
      <c r="G9">
        <v>1.5164935554981829</v>
      </c>
      <c r="H9">
        <v>1.4918259312599742</v>
      </c>
      <c r="I9">
        <v>1.450350179822071</v>
      </c>
      <c r="J9">
        <v>1.4115553272296939</v>
      </c>
      <c r="K9">
        <v>1.3865122126436782</v>
      </c>
      <c r="L9">
        <v>1.3552521301857801</v>
      </c>
      <c r="M9">
        <v>1.3390337383771891</v>
      </c>
      <c r="N9">
        <v>1.3175819353967666</v>
      </c>
      <c r="O9">
        <v>1.2946806031756599</v>
      </c>
      <c r="P9">
        <v>1.2769280886065639</v>
      </c>
      <c r="Q9">
        <v>1.2408312572924223</v>
      </c>
      <c r="R9">
        <v>1.2449011907778058</v>
      </c>
      <c r="S9">
        <v>1.2287596899224806</v>
      </c>
      <c r="T9">
        <v>1.207642207140031</v>
      </c>
      <c r="U9">
        <v>1.1871772225798243</v>
      </c>
      <c r="V9">
        <v>1.165090472565439</v>
      </c>
      <c r="W9">
        <v>1.1737746470570898</v>
      </c>
      <c r="X9">
        <v>1.1763444019982368</v>
      </c>
      <c r="Y9">
        <v>1.1795616583047266</v>
      </c>
      <c r="Z9">
        <v>1.168367938754205</v>
      </c>
      <c r="AA9">
        <v>1.1576614575141906</v>
      </c>
      <c r="AB9">
        <v>1.1523638339673117</v>
      </c>
      <c r="AC9">
        <v>1.1534949710625386</v>
      </c>
      <c r="AD9">
        <v>1.1363767936153495</v>
      </c>
      <c r="AE9">
        <v>1.0495646349631615</v>
      </c>
      <c r="AF9">
        <v>1.0020104068117313</v>
      </c>
    </row>
    <row r="10" spans="1:62" x14ac:dyDescent="0.25">
      <c r="B10" t="s">
        <v>44</v>
      </c>
      <c r="C10">
        <v>1.7860143282445859</v>
      </c>
      <c r="D10">
        <v>1.7782919873002203</v>
      </c>
      <c r="E10">
        <v>1.6947638926034023</v>
      </c>
      <c r="F10">
        <v>1.5893507593634657</v>
      </c>
      <c r="G10">
        <v>1.6045901560796807</v>
      </c>
      <c r="H10">
        <v>1.5847320368081967</v>
      </c>
      <c r="I10">
        <v>1.5370210683322458</v>
      </c>
      <c r="J10">
        <v>1.4993433363164073</v>
      </c>
      <c r="K10">
        <v>1.4660972850678733</v>
      </c>
      <c r="L10">
        <v>1.4254079882646071</v>
      </c>
      <c r="M10">
        <v>1.4124882751742398</v>
      </c>
      <c r="N10">
        <v>1.378650884979999</v>
      </c>
      <c r="O10">
        <v>1.3583282387595177</v>
      </c>
      <c r="P10">
        <v>1.3109672600522844</v>
      </c>
      <c r="Q10">
        <v>1.2755883401194501</v>
      </c>
      <c r="R10">
        <v>1.2602607389836344</v>
      </c>
      <c r="S10">
        <v>1.232596052571324</v>
      </c>
      <c r="T10">
        <v>1.2172786468367109</v>
      </c>
      <c r="U10">
        <v>1.2102272727272727</v>
      </c>
      <c r="V10">
        <v>1.1912310594535385</v>
      </c>
      <c r="W10">
        <v>1.1835784932019244</v>
      </c>
      <c r="X10">
        <v>1.1825335085883921</v>
      </c>
      <c r="Y10">
        <v>1.1829566045922055</v>
      </c>
      <c r="Z10">
        <v>1.1700304708233678</v>
      </c>
      <c r="AA10">
        <v>1.1577498682730798</v>
      </c>
      <c r="AB10">
        <v>1.1531476346177725</v>
      </c>
      <c r="AC10">
        <v>1.1553283692455849</v>
      </c>
      <c r="AD10">
        <v>1.1336495832594431</v>
      </c>
      <c r="AE10">
        <v>1.0581017683146881</v>
      </c>
      <c r="AF10">
        <v>1.0094979874308572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91AA-BDAE-4578-BAD1-649D54854F4B}">
  <sheetPr>
    <tabColor theme="0" tint="-0.249977111117893"/>
  </sheetPr>
  <dimension ref="A1:AH18"/>
  <sheetViews>
    <sheetView topLeftCell="O1" workbookViewId="0">
      <selection activeCell="N24" sqref="N24"/>
    </sheetView>
  </sheetViews>
  <sheetFormatPr defaultRowHeight="15" x14ac:dyDescent="0.25"/>
  <cols>
    <col min="2" max="91" width="13.140625" customWidth="1"/>
  </cols>
  <sheetData>
    <row r="1" spans="1:34" x14ac:dyDescent="0.25">
      <c r="A1" t="s">
        <v>109</v>
      </c>
    </row>
    <row r="2" spans="1:34" x14ac:dyDescent="0.25">
      <c r="A2" t="s">
        <v>55</v>
      </c>
    </row>
    <row r="3" spans="1:34" x14ac:dyDescent="0.25">
      <c r="A3" t="s">
        <v>110</v>
      </c>
      <c r="B3" t="s">
        <v>112</v>
      </c>
      <c r="C3" t="s">
        <v>113</v>
      </c>
      <c r="D3" t="s">
        <v>114</v>
      </c>
      <c r="E3" t="s">
        <v>115</v>
      </c>
      <c r="F3" t="s">
        <v>116</v>
      </c>
      <c r="G3" t="s">
        <v>117</v>
      </c>
      <c r="H3" t="s">
        <v>118</v>
      </c>
      <c r="I3" t="s">
        <v>119</v>
      </c>
      <c r="J3" t="s">
        <v>120</v>
      </c>
      <c r="K3" t="s">
        <v>121</v>
      </c>
      <c r="L3" t="s">
        <v>122</v>
      </c>
      <c r="M3" t="s">
        <v>123</v>
      </c>
      <c r="N3" t="s">
        <v>124</v>
      </c>
      <c r="O3" t="s">
        <v>125</v>
      </c>
      <c r="P3" t="s">
        <v>126</v>
      </c>
      <c r="Q3" t="s">
        <v>127</v>
      </c>
      <c r="R3" t="s">
        <v>128</v>
      </c>
      <c r="S3" t="s">
        <v>129</v>
      </c>
      <c r="T3" t="s">
        <v>130</v>
      </c>
      <c r="U3" t="s">
        <v>131</v>
      </c>
      <c r="V3" t="s">
        <v>132</v>
      </c>
      <c r="W3" t="s">
        <v>133</v>
      </c>
      <c r="X3" t="s">
        <v>134</v>
      </c>
      <c r="Y3" t="s">
        <v>135</v>
      </c>
      <c r="Z3" t="s">
        <v>136</v>
      </c>
      <c r="AA3" t="s">
        <v>137</v>
      </c>
      <c r="AB3" t="s">
        <v>138</v>
      </c>
      <c r="AC3" t="s">
        <v>139</v>
      </c>
      <c r="AD3" t="s">
        <v>140</v>
      </c>
      <c r="AE3" t="s">
        <v>141</v>
      </c>
      <c r="AF3" t="s">
        <v>92</v>
      </c>
      <c r="AG3" t="s">
        <v>154</v>
      </c>
      <c r="AH3" t="s">
        <v>111</v>
      </c>
    </row>
    <row r="5" spans="1:34" x14ac:dyDescent="0.25">
      <c r="A5" t="s">
        <v>57</v>
      </c>
      <c r="B5" t="s">
        <v>58</v>
      </c>
      <c r="C5" t="s">
        <v>59</v>
      </c>
    </row>
    <row r="6" spans="1:34" x14ac:dyDescent="0.25">
      <c r="B6" t="s">
        <v>155</v>
      </c>
      <c r="C6">
        <v>1995</v>
      </c>
      <c r="D6">
        <v>1996</v>
      </c>
      <c r="E6">
        <v>1997</v>
      </c>
      <c r="F6">
        <v>1998</v>
      </c>
      <c r="G6">
        <v>1999</v>
      </c>
      <c r="H6">
        <v>2000</v>
      </c>
      <c r="I6">
        <v>2001</v>
      </c>
      <c r="J6">
        <v>2002</v>
      </c>
      <c r="K6">
        <v>2003</v>
      </c>
      <c r="L6">
        <v>2004</v>
      </c>
      <c r="M6">
        <v>2005</v>
      </c>
      <c r="N6">
        <v>2006</v>
      </c>
      <c r="O6">
        <v>2007</v>
      </c>
      <c r="P6">
        <v>2008</v>
      </c>
      <c r="Q6">
        <v>2009</v>
      </c>
      <c r="R6">
        <v>2010</v>
      </c>
      <c r="S6">
        <v>2011</v>
      </c>
      <c r="T6">
        <v>2012</v>
      </c>
      <c r="U6">
        <v>2013</v>
      </c>
      <c r="V6">
        <v>2014</v>
      </c>
      <c r="W6">
        <v>2015</v>
      </c>
      <c r="X6">
        <v>2016</v>
      </c>
      <c r="Y6">
        <v>2017</v>
      </c>
      <c r="Z6">
        <v>2018</v>
      </c>
      <c r="AA6">
        <v>2019</v>
      </c>
      <c r="AB6">
        <v>2020</v>
      </c>
      <c r="AC6">
        <v>2021</v>
      </c>
      <c r="AD6">
        <v>2022</v>
      </c>
      <c r="AE6">
        <v>2023</v>
      </c>
      <c r="AF6">
        <v>2024</v>
      </c>
    </row>
    <row r="7" spans="1:34" x14ac:dyDescent="0.25">
      <c r="A7" t="s">
        <v>143</v>
      </c>
      <c r="C7" t="s">
        <v>98</v>
      </c>
      <c r="D7" t="s">
        <v>98</v>
      </c>
      <c r="E7" t="s">
        <v>98</v>
      </c>
      <c r="F7" t="s">
        <v>98</v>
      </c>
      <c r="G7" t="s">
        <v>98</v>
      </c>
      <c r="H7" t="s">
        <v>98</v>
      </c>
      <c r="I7" t="s">
        <v>98</v>
      </c>
      <c r="J7" t="s">
        <v>98</v>
      </c>
      <c r="K7" t="s">
        <v>98</v>
      </c>
      <c r="L7" t="s">
        <v>98</v>
      </c>
      <c r="M7" t="s">
        <v>98</v>
      </c>
      <c r="N7" t="s">
        <v>98</v>
      </c>
      <c r="O7" t="s">
        <v>98</v>
      </c>
      <c r="P7" t="s">
        <v>98</v>
      </c>
      <c r="Q7" t="s">
        <v>98</v>
      </c>
      <c r="R7" t="s">
        <v>98</v>
      </c>
      <c r="S7" t="s">
        <v>98</v>
      </c>
      <c r="T7" t="s">
        <v>98</v>
      </c>
      <c r="U7" t="s">
        <v>98</v>
      </c>
      <c r="V7" t="s">
        <v>98</v>
      </c>
      <c r="W7" t="s">
        <v>98</v>
      </c>
      <c r="X7" t="s">
        <v>98</v>
      </c>
      <c r="Y7" t="s">
        <v>98</v>
      </c>
      <c r="Z7" t="s">
        <v>98</v>
      </c>
      <c r="AA7" t="s">
        <v>98</v>
      </c>
      <c r="AB7" t="s">
        <v>98</v>
      </c>
      <c r="AC7" t="s">
        <v>98</v>
      </c>
      <c r="AD7" t="s">
        <v>98</v>
      </c>
      <c r="AE7" t="s">
        <v>98</v>
      </c>
      <c r="AF7" t="s">
        <v>98</v>
      </c>
    </row>
    <row r="8" spans="1:34" x14ac:dyDescent="0.25">
      <c r="A8" t="s">
        <v>148</v>
      </c>
      <c r="C8">
        <v>16152</v>
      </c>
      <c r="D8">
        <v>54356</v>
      </c>
      <c r="E8">
        <v>74640</v>
      </c>
      <c r="F8">
        <v>32005</v>
      </c>
      <c r="G8">
        <v>40554</v>
      </c>
      <c r="H8">
        <v>38823</v>
      </c>
      <c r="I8">
        <v>30337</v>
      </c>
      <c r="J8">
        <v>32369</v>
      </c>
      <c r="K8">
        <v>39658</v>
      </c>
      <c r="L8">
        <v>40188</v>
      </c>
      <c r="M8">
        <v>41636</v>
      </c>
      <c r="N8">
        <v>68990</v>
      </c>
      <c r="O8">
        <v>89479</v>
      </c>
      <c r="P8">
        <v>59605</v>
      </c>
      <c r="Q8">
        <v>72854</v>
      </c>
      <c r="R8">
        <v>77651</v>
      </c>
      <c r="S8">
        <v>80158</v>
      </c>
      <c r="T8">
        <v>70827</v>
      </c>
      <c r="U8">
        <v>38543</v>
      </c>
      <c r="V8">
        <v>50946</v>
      </c>
      <c r="W8">
        <v>78852</v>
      </c>
      <c r="X8">
        <v>63185</v>
      </c>
      <c r="Y8">
        <v>74473</v>
      </c>
      <c r="Z8">
        <v>104045</v>
      </c>
      <c r="AA8">
        <v>111117</v>
      </c>
      <c r="AB8">
        <v>121714</v>
      </c>
      <c r="AC8">
        <v>117124</v>
      </c>
      <c r="AD8">
        <v>100411</v>
      </c>
      <c r="AE8">
        <v>87504</v>
      </c>
      <c r="AF8">
        <v>82418</v>
      </c>
    </row>
    <row r="9" spans="1:34" x14ac:dyDescent="0.25">
      <c r="A9" t="s">
        <v>156</v>
      </c>
      <c r="C9">
        <v>3146</v>
      </c>
      <c r="D9">
        <v>2818</v>
      </c>
      <c r="E9">
        <v>3576</v>
      </c>
      <c r="F9">
        <v>3173</v>
      </c>
      <c r="G9">
        <v>2941</v>
      </c>
      <c r="H9">
        <v>2982</v>
      </c>
      <c r="I9">
        <v>3379</v>
      </c>
      <c r="J9">
        <v>3691</v>
      </c>
      <c r="K9">
        <v>4162</v>
      </c>
      <c r="L9">
        <v>3934</v>
      </c>
      <c r="M9">
        <v>3526</v>
      </c>
      <c r="N9">
        <v>4266</v>
      </c>
      <c r="O9">
        <v>5035</v>
      </c>
      <c r="P9">
        <v>5027</v>
      </c>
      <c r="Q9">
        <v>5265</v>
      </c>
      <c r="R9">
        <v>6789</v>
      </c>
      <c r="S9">
        <v>6142</v>
      </c>
      <c r="T9">
        <v>7079</v>
      </c>
      <c r="U9">
        <v>6295</v>
      </c>
      <c r="V9">
        <v>5998</v>
      </c>
      <c r="W9">
        <v>6341</v>
      </c>
      <c r="X9">
        <v>6654</v>
      </c>
      <c r="Y9">
        <v>6324</v>
      </c>
      <c r="Z9">
        <v>6859</v>
      </c>
      <c r="AA9">
        <v>6320</v>
      </c>
      <c r="AB9">
        <v>4947</v>
      </c>
      <c r="AC9">
        <v>5590</v>
      </c>
      <c r="AD9">
        <v>5037</v>
      </c>
      <c r="AE9">
        <v>4249</v>
      </c>
      <c r="AF9">
        <v>2512</v>
      </c>
    </row>
    <row r="10" spans="1:34" x14ac:dyDescent="0.25">
      <c r="A10" t="s">
        <v>150</v>
      </c>
      <c r="C10">
        <v>6182</v>
      </c>
      <c r="D10">
        <v>7139</v>
      </c>
      <c r="E10">
        <v>7836</v>
      </c>
      <c r="F10">
        <v>8370</v>
      </c>
      <c r="G10">
        <v>8816</v>
      </c>
      <c r="H10">
        <v>9451</v>
      </c>
      <c r="I10">
        <v>9863</v>
      </c>
      <c r="J10">
        <v>10354</v>
      </c>
      <c r="K10">
        <v>11605</v>
      </c>
      <c r="L10">
        <v>11885</v>
      </c>
      <c r="M10">
        <v>12846</v>
      </c>
      <c r="N10">
        <v>13233</v>
      </c>
      <c r="O10">
        <v>14158</v>
      </c>
      <c r="P10">
        <v>15166</v>
      </c>
      <c r="Q10">
        <v>16096</v>
      </c>
      <c r="R10">
        <v>17074</v>
      </c>
      <c r="S10">
        <v>18513</v>
      </c>
      <c r="T10">
        <v>20104</v>
      </c>
      <c r="U10">
        <v>20939</v>
      </c>
      <c r="V10">
        <v>21943</v>
      </c>
      <c r="W10">
        <v>24442</v>
      </c>
      <c r="X10">
        <v>24969</v>
      </c>
      <c r="Y10">
        <v>27037</v>
      </c>
      <c r="Z10">
        <v>27715</v>
      </c>
      <c r="AA10">
        <v>29816</v>
      </c>
      <c r="AB10">
        <v>34706</v>
      </c>
      <c r="AC10">
        <v>37067</v>
      </c>
      <c r="AD10">
        <v>37849</v>
      </c>
      <c r="AE10">
        <v>37017</v>
      </c>
      <c r="AF10">
        <v>28846</v>
      </c>
    </row>
    <row r="11" spans="1:34" x14ac:dyDescent="0.25">
      <c r="A11" t="s">
        <v>44</v>
      </c>
      <c r="C11">
        <v>25480</v>
      </c>
      <c r="D11">
        <v>64313</v>
      </c>
      <c r="E11">
        <v>86052</v>
      </c>
      <c r="F11">
        <v>43548</v>
      </c>
      <c r="G11">
        <v>52311</v>
      </c>
      <c r="H11">
        <v>51256</v>
      </c>
      <c r="I11">
        <v>43579</v>
      </c>
      <c r="J11">
        <v>46414</v>
      </c>
      <c r="K11">
        <v>55425</v>
      </c>
      <c r="L11">
        <v>56007</v>
      </c>
      <c r="M11">
        <v>58008</v>
      </c>
      <c r="N11">
        <v>86489</v>
      </c>
      <c r="O11">
        <v>108672</v>
      </c>
      <c r="P11">
        <v>79798</v>
      </c>
      <c r="Q11">
        <v>94215</v>
      </c>
      <c r="R11">
        <v>101514</v>
      </c>
      <c r="S11">
        <v>104813</v>
      </c>
      <c r="T11">
        <v>98010</v>
      </c>
      <c r="U11">
        <v>65777</v>
      </c>
      <c r="V11">
        <v>78887</v>
      </c>
      <c r="W11">
        <v>109635</v>
      </c>
      <c r="X11">
        <v>94808</v>
      </c>
      <c r="Y11">
        <v>107834</v>
      </c>
      <c r="Z11">
        <v>138619</v>
      </c>
      <c r="AA11">
        <v>147253</v>
      </c>
      <c r="AB11">
        <v>161367</v>
      </c>
      <c r="AC11">
        <v>159781</v>
      </c>
      <c r="AD11">
        <v>143297</v>
      </c>
      <c r="AE11">
        <v>128770</v>
      </c>
      <c r="AF11">
        <v>113776</v>
      </c>
    </row>
    <row r="18" spans="9:9" x14ac:dyDescent="0.25">
      <c r="I18" t="s">
        <v>158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8D97-2BCE-4DE1-B8DD-1C92AC158CA9}">
  <sheetPr>
    <tabColor theme="2" tint="-0.249977111117893"/>
  </sheetPr>
  <dimension ref="A1:AH13"/>
  <sheetViews>
    <sheetView workbookViewId="0">
      <selection activeCell="N24" sqref="N24"/>
    </sheetView>
  </sheetViews>
  <sheetFormatPr defaultRowHeight="15" x14ac:dyDescent="0.25"/>
  <cols>
    <col min="2" max="121" width="13.140625" customWidth="1"/>
  </cols>
  <sheetData>
    <row r="1" spans="1:34" x14ac:dyDescent="0.25">
      <c r="A1" t="s">
        <v>109</v>
      </c>
      <c r="G1" t="s">
        <v>152</v>
      </c>
    </row>
    <row r="2" spans="1:34" x14ac:dyDescent="0.25">
      <c r="A2" t="s">
        <v>55</v>
      </c>
    </row>
    <row r="3" spans="1:34" x14ac:dyDescent="0.25">
      <c r="A3" t="s">
        <v>110</v>
      </c>
      <c r="B3" t="s">
        <v>92</v>
      </c>
      <c r="C3" t="s">
        <v>94</v>
      </c>
      <c r="D3" t="s">
        <v>111</v>
      </c>
      <c r="E3" t="s">
        <v>112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M3" t="s">
        <v>120</v>
      </c>
      <c r="N3" t="s">
        <v>121</v>
      </c>
      <c r="O3" t="s">
        <v>122</v>
      </c>
      <c r="P3" t="s">
        <v>123</v>
      </c>
      <c r="Q3" t="s">
        <v>124</v>
      </c>
      <c r="R3" t="s">
        <v>125</v>
      </c>
      <c r="S3" t="s">
        <v>126</v>
      </c>
      <c r="T3" t="s">
        <v>127</v>
      </c>
      <c r="U3" t="s">
        <v>128</v>
      </c>
      <c r="V3" t="s">
        <v>129</v>
      </c>
      <c r="W3" t="s">
        <v>130</v>
      </c>
      <c r="X3" t="s">
        <v>131</v>
      </c>
      <c r="Y3" t="s">
        <v>132</v>
      </c>
      <c r="Z3" t="s">
        <v>133</v>
      </c>
      <c r="AA3" t="s">
        <v>134</v>
      </c>
      <c r="AB3" t="s">
        <v>135</v>
      </c>
      <c r="AC3" t="s">
        <v>136</v>
      </c>
      <c r="AD3" t="s">
        <v>137</v>
      </c>
      <c r="AE3" t="s">
        <v>138</v>
      </c>
      <c r="AF3" t="s">
        <v>139</v>
      </c>
      <c r="AG3" t="s">
        <v>140</v>
      </c>
      <c r="AH3" t="s">
        <v>141</v>
      </c>
    </row>
    <row r="5" spans="1:34" x14ac:dyDescent="0.25">
      <c r="A5" t="s">
        <v>57</v>
      </c>
      <c r="B5" t="s">
        <v>58</v>
      </c>
      <c r="C5" t="s">
        <v>59</v>
      </c>
    </row>
    <row r="6" spans="1:34" x14ac:dyDescent="0.25">
      <c r="C6">
        <v>1995</v>
      </c>
      <c r="D6">
        <v>1996</v>
      </c>
      <c r="E6">
        <v>1997</v>
      </c>
      <c r="F6">
        <v>1998</v>
      </c>
      <c r="G6">
        <v>1999</v>
      </c>
      <c r="H6">
        <v>2000</v>
      </c>
      <c r="I6">
        <v>2001</v>
      </c>
      <c r="J6">
        <v>2002</v>
      </c>
      <c r="K6">
        <v>2003</v>
      </c>
      <c r="L6">
        <v>2004</v>
      </c>
      <c r="M6">
        <v>2005</v>
      </c>
      <c r="N6">
        <v>2006</v>
      </c>
      <c r="O6">
        <v>2007</v>
      </c>
      <c r="P6">
        <v>2008</v>
      </c>
      <c r="Q6">
        <v>2009</v>
      </c>
      <c r="R6">
        <v>2010</v>
      </c>
      <c r="S6">
        <v>2011</v>
      </c>
      <c r="T6">
        <v>2012</v>
      </c>
      <c r="U6">
        <v>2013</v>
      </c>
      <c r="V6">
        <v>2014</v>
      </c>
      <c r="W6">
        <v>2015</v>
      </c>
      <c r="X6">
        <v>2016</v>
      </c>
      <c r="Y6">
        <v>2017</v>
      </c>
      <c r="Z6">
        <v>2018</v>
      </c>
      <c r="AA6">
        <v>2019</v>
      </c>
      <c r="AB6">
        <v>2020</v>
      </c>
      <c r="AC6">
        <v>2021</v>
      </c>
      <c r="AD6">
        <v>2022</v>
      </c>
      <c r="AE6">
        <v>2023</v>
      </c>
      <c r="AF6">
        <v>2024</v>
      </c>
    </row>
    <row r="7" spans="1:34" x14ac:dyDescent="0.25">
      <c r="B7" t="s">
        <v>153</v>
      </c>
      <c r="C7" s="55">
        <v>16152</v>
      </c>
      <c r="D7" s="55">
        <v>54356</v>
      </c>
      <c r="E7" s="55">
        <v>74640</v>
      </c>
      <c r="F7" s="55">
        <v>32005</v>
      </c>
      <c r="G7" s="55">
        <v>40554</v>
      </c>
      <c r="H7" s="55">
        <v>38823</v>
      </c>
      <c r="I7" s="55">
        <v>30337</v>
      </c>
      <c r="J7" s="55">
        <v>32369</v>
      </c>
      <c r="K7" s="55">
        <v>39658</v>
      </c>
      <c r="L7" s="55">
        <v>40188</v>
      </c>
      <c r="M7" s="55">
        <v>41636</v>
      </c>
      <c r="N7" s="55">
        <v>68990</v>
      </c>
      <c r="O7" s="55">
        <v>89479</v>
      </c>
      <c r="P7" s="55">
        <v>59605</v>
      </c>
      <c r="Q7" s="55">
        <v>72854</v>
      </c>
      <c r="R7" s="55">
        <v>77651</v>
      </c>
      <c r="S7" s="55">
        <v>80158</v>
      </c>
      <c r="T7" s="55">
        <v>70827</v>
      </c>
      <c r="U7" s="55">
        <v>38543</v>
      </c>
      <c r="V7" s="55">
        <v>50946</v>
      </c>
      <c r="W7" s="55">
        <v>78852</v>
      </c>
      <c r="X7" s="55">
        <v>63185</v>
      </c>
      <c r="Y7" s="55">
        <v>74473</v>
      </c>
      <c r="Z7" s="55">
        <v>104045</v>
      </c>
      <c r="AA7" s="55">
        <v>111117</v>
      </c>
      <c r="AB7" s="55">
        <v>121714</v>
      </c>
      <c r="AC7" s="55">
        <v>117124</v>
      </c>
      <c r="AD7" s="55">
        <v>100411</v>
      </c>
      <c r="AE7" s="55">
        <v>87504</v>
      </c>
      <c r="AF7" s="55">
        <v>82418</v>
      </c>
    </row>
    <row r="8" spans="1:34" x14ac:dyDescent="0.25">
      <c r="B8" t="s">
        <v>157</v>
      </c>
      <c r="C8" s="55">
        <v>3146</v>
      </c>
      <c r="D8" s="55">
        <v>2818</v>
      </c>
      <c r="E8" s="55">
        <v>3576</v>
      </c>
      <c r="F8" s="55">
        <v>3173</v>
      </c>
      <c r="G8" s="55">
        <v>2941</v>
      </c>
      <c r="H8" s="55">
        <v>2982</v>
      </c>
      <c r="I8" s="55">
        <v>3379</v>
      </c>
      <c r="J8" s="55">
        <v>3691</v>
      </c>
      <c r="K8" s="55">
        <v>4162</v>
      </c>
      <c r="L8" s="55">
        <v>3934</v>
      </c>
      <c r="M8" s="55">
        <v>3526</v>
      </c>
      <c r="N8" s="55">
        <v>4266</v>
      </c>
      <c r="O8" s="55">
        <v>5035</v>
      </c>
      <c r="P8" s="55">
        <v>5027</v>
      </c>
      <c r="Q8" s="55">
        <v>5265</v>
      </c>
      <c r="R8" s="55">
        <v>6789</v>
      </c>
      <c r="S8" s="55">
        <v>6142</v>
      </c>
      <c r="T8" s="55">
        <v>7079</v>
      </c>
      <c r="U8" s="55">
        <v>6295</v>
      </c>
      <c r="V8" s="55">
        <v>5998</v>
      </c>
      <c r="W8" s="55">
        <v>6341</v>
      </c>
      <c r="X8" s="55">
        <v>6654</v>
      </c>
      <c r="Y8" s="55">
        <v>6324</v>
      </c>
      <c r="Z8" s="55">
        <v>6859</v>
      </c>
      <c r="AA8" s="55">
        <v>6320</v>
      </c>
      <c r="AB8" s="55">
        <v>4947</v>
      </c>
      <c r="AC8" s="55">
        <v>5590</v>
      </c>
      <c r="AD8" s="55">
        <v>5037</v>
      </c>
      <c r="AE8" s="55">
        <v>4249</v>
      </c>
      <c r="AF8" s="55">
        <v>2512</v>
      </c>
    </row>
    <row r="9" spans="1:34" x14ac:dyDescent="0.25">
      <c r="B9" t="s">
        <v>150</v>
      </c>
      <c r="C9" s="55">
        <v>6182</v>
      </c>
      <c r="D9" s="55">
        <v>7139</v>
      </c>
      <c r="E9" s="55">
        <v>7836</v>
      </c>
      <c r="F9" s="55">
        <v>8370</v>
      </c>
      <c r="G9" s="55">
        <v>8816</v>
      </c>
      <c r="H9" s="55">
        <v>9451</v>
      </c>
      <c r="I9" s="55">
        <v>9863</v>
      </c>
      <c r="J9" s="55">
        <v>10354</v>
      </c>
      <c r="K9" s="55">
        <v>11605</v>
      </c>
      <c r="L9" s="55">
        <v>11885</v>
      </c>
      <c r="M9" s="55">
        <v>12846</v>
      </c>
      <c r="N9" s="55">
        <v>13233</v>
      </c>
      <c r="O9" s="55">
        <v>14158</v>
      </c>
      <c r="P9" s="55">
        <v>15166</v>
      </c>
      <c r="Q9" s="55">
        <v>16096</v>
      </c>
      <c r="R9" s="55">
        <v>17074</v>
      </c>
      <c r="S9" s="55">
        <v>18513</v>
      </c>
      <c r="T9" s="55">
        <v>20104</v>
      </c>
      <c r="U9" s="55">
        <v>20939</v>
      </c>
      <c r="V9" s="55">
        <v>21943</v>
      </c>
      <c r="W9" s="55">
        <v>24442</v>
      </c>
      <c r="X9" s="55">
        <v>24969</v>
      </c>
      <c r="Y9" s="55">
        <v>27037</v>
      </c>
      <c r="Z9" s="55">
        <v>27715</v>
      </c>
      <c r="AA9" s="55">
        <v>29816</v>
      </c>
      <c r="AB9" s="55">
        <v>34706</v>
      </c>
      <c r="AC9" s="55">
        <v>37067</v>
      </c>
      <c r="AD9" s="55">
        <v>37849</v>
      </c>
      <c r="AE9" s="55">
        <v>37017</v>
      </c>
      <c r="AF9" s="55">
        <v>28846</v>
      </c>
    </row>
    <row r="10" spans="1:34" x14ac:dyDescent="0.25">
      <c r="B10" t="s">
        <v>44</v>
      </c>
      <c r="C10" s="55">
        <v>25480</v>
      </c>
      <c r="D10" s="55">
        <v>64313</v>
      </c>
      <c r="E10" s="55">
        <v>86052</v>
      </c>
      <c r="F10" s="55">
        <v>43548</v>
      </c>
      <c r="G10" s="55">
        <v>52311</v>
      </c>
      <c r="H10" s="55">
        <v>51256</v>
      </c>
      <c r="I10" s="55">
        <v>43579</v>
      </c>
      <c r="J10" s="55">
        <v>46414</v>
      </c>
      <c r="K10" s="55">
        <v>55425</v>
      </c>
      <c r="L10" s="55">
        <v>56007</v>
      </c>
      <c r="M10" s="55">
        <v>58008</v>
      </c>
      <c r="N10" s="55">
        <v>86489</v>
      </c>
      <c r="O10" s="55">
        <v>108672</v>
      </c>
      <c r="P10" s="55">
        <v>79798</v>
      </c>
      <c r="Q10" s="55">
        <v>94215</v>
      </c>
      <c r="R10" s="55">
        <v>101514</v>
      </c>
      <c r="S10" s="55">
        <v>104813</v>
      </c>
      <c r="T10" s="55">
        <v>98010</v>
      </c>
      <c r="U10" s="55">
        <v>65777</v>
      </c>
      <c r="V10" s="55">
        <v>78887</v>
      </c>
      <c r="W10" s="55">
        <v>109635</v>
      </c>
      <c r="X10" s="55">
        <v>94808</v>
      </c>
      <c r="Y10" s="55">
        <v>107834</v>
      </c>
      <c r="Z10" s="55">
        <v>138619</v>
      </c>
      <c r="AA10" s="55">
        <v>147253</v>
      </c>
      <c r="AB10" s="55">
        <v>161367</v>
      </c>
      <c r="AC10" s="55">
        <v>159781</v>
      </c>
      <c r="AD10" s="55">
        <v>143297</v>
      </c>
      <c r="AE10" s="55">
        <v>128770</v>
      </c>
      <c r="AF10" s="55">
        <v>113776</v>
      </c>
    </row>
    <row r="11" spans="1:34" x14ac:dyDescent="0.25">
      <c r="B11" t="s">
        <v>159</v>
      </c>
      <c r="C11" s="98">
        <f>SUM($C$10:C10)</f>
        <v>25480</v>
      </c>
      <c r="D11" s="98">
        <f>SUM($C$10:D10)</f>
        <v>89793</v>
      </c>
      <c r="E11" s="98">
        <f>SUM($C$10:E10)</f>
        <v>175845</v>
      </c>
      <c r="F11" s="98">
        <f>SUM($C$10:F10)</f>
        <v>219393</v>
      </c>
      <c r="G11" s="98">
        <f>SUM($C$10:G10)</f>
        <v>271704</v>
      </c>
      <c r="H11" s="98">
        <f>SUM($C$10:H10)</f>
        <v>322960</v>
      </c>
      <c r="I11" s="98">
        <f>SUM($C$10:I10)</f>
        <v>366539</v>
      </c>
      <c r="J11" s="98">
        <f>SUM($C$10:J10)</f>
        <v>412953</v>
      </c>
      <c r="K11" s="98">
        <f>SUM($C$10:K10)</f>
        <v>468378</v>
      </c>
      <c r="L11" s="98">
        <f>SUM($C$10:L10)</f>
        <v>524385</v>
      </c>
      <c r="M11" s="98">
        <f>SUM($C$10:M10)</f>
        <v>582393</v>
      </c>
      <c r="N11" s="98">
        <f>SUM($C$10:N10)</f>
        <v>668882</v>
      </c>
      <c r="O11" s="98">
        <f>SUM($C$10:O10)</f>
        <v>777554</v>
      </c>
      <c r="P11" s="98">
        <f>SUM($C$10:P10)</f>
        <v>857352</v>
      </c>
      <c r="Q11" s="98">
        <f>SUM($C$10:Q10)</f>
        <v>951567</v>
      </c>
      <c r="R11" s="98">
        <f>SUM($C$10:R10)</f>
        <v>1053081</v>
      </c>
      <c r="S11" s="98">
        <f>SUM($C$10:S10)</f>
        <v>1157894</v>
      </c>
      <c r="T11" s="98">
        <f>SUM($C$10:T10)</f>
        <v>1255904</v>
      </c>
      <c r="U11" s="98">
        <f>SUM($C$10:U10)</f>
        <v>1321681</v>
      </c>
      <c r="V11" s="98">
        <f>SUM($C$10:V10)</f>
        <v>1400568</v>
      </c>
      <c r="W11" s="98">
        <f>SUM($C$10:W10)</f>
        <v>1510203</v>
      </c>
      <c r="X11" s="98">
        <f>SUM($C$10:X10)</f>
        <v>1605011</v>
      </c>
      <c r="Y11" s="98">
        <f>SUM($C$10:Y10)</f>
        <v>1712845</v>
      </c>
      <c r="Z11" s="98">
        <f>SUM($C$10:Z10)</f>
        <v>1851464</v>
      </c>
      <c r="AA11" s="98">
        <f>SUM($C$10:AA10)</f>
        <v>1998717</v>
      </c>
      <c r="AB11" s="98">
        <f>SUM($C$10:AB10)</f>
        <v>2160084</v>
      </c>
      <c r="AC11" s="98">
        <f>SUM($C$10:AC10)</f>
        <v>2319865</v>
      </c>
      <c r="AD11" s="98">
        <f>SUM($C$10:AD10)</f>
        <v>2463162</v>
      </c>
      <c r="AE11" s="98">
        <f>SUM($C$10:AE10)</f>
        <v>2591932</v>
      </c>
      <c r="AF11" s="98">
        <f>SUM($C$10:AF10)</f>
        <v>2705708</v>
      </c>
    </row>
    <row r="12" spans="1:34" x14ac:dyDescent="0.25">
      <c r="C12" s="122">
        <f>C11/$AF11</f>
        <v>9.4171285297600486E-3</v>
      </c>
      <c r="D12" s="122">
        <f t="shared" ref="D12:AF12" si="0">D11/$AF11</f>
        <v>3.3186507930641443E-2</v>
      </c>
      <c r="E12" s="122">
        <f t="shared" si="0"/>
        <v>6.4990383293393073E-2</v>
      </c>
      <c r="F12" s="122">
        <f t="shared" si="0"/>
        <v>8.1085246449358175E-2</v>
      </c>
      <c r="G12" s="122">
        <f t="shared" si="0"/>
        <v>0.10041881829081335</v>
      </c>
      <c r="H12" s="122">
        <f t="shared" si="0"/>
        <v>0.11936247370374038</v>
      </c>
      <c r="I12" s="122">
        <f t="shared" si="0"/>
        <v>0.13546879411969068</v>
      </c>
      <c r="J12" s="122">
        <f t="shared" si="0"/>
        <v>0.15262289944073787</v>
      </c>
      <c r="K12" s="122">
        <f t="shared" si="0"/>
        <v>0.17310737152715666</v>
      </c>
      <c r="L12" s="122">
        <f t="shared" si="0"/>
        <v>0.19380694443007154</v>
      </c>
      <c r="M12" s="122">
        <f t="shared" si="0"/>
        <v>0.21524606498557863</v>
      </c>
      <c r="N12" s="122">
        <f t="shared" si="0"/>
        <v>0.24721145075521822</v>
      </c>
      <c r="O12" s="122">
        <f t="shared" si="0"/>
        <v>0.28737543001683846</v>
      </c>
      <c r="P12" s="122">
        <f t="shared" si="0"/>
        <v>0.31686789557483658</v>
      </c>
      <c r="Q12" s="122">
        <f t="shared" si="0"/>
        <v>0.3516887262040102</v>
      </c>
      <c r="R12" s="122">
        <f t="shared" si="0"/>
        <v>0.38920718717614761</v>
      </c>
      <c r="S12" s="122">
        <f t="shared" si="0"/>
        <v>0.42794492236412801</v>
      </c>
      <c r="T12" s="122">
        <f t="shared" si="0"/>
        <v>0.4641683433689075</v>
      </c>
      <c r="U12" s="122">
        <f t="shared" si="0"/>
        <v>0.48847880111231518</v>
      </c>
      <c r="V12" s="122">
        <f t="shared" si="0"/>
        <v>0.51763457106236155</v>
      </c>
      <c r="W12" s="122">
        <f t="shared" si="0"/>
        <v>0.55815446456158613</v>
      </c>
      <c r="X12" s="122">
        <f t="shared" si="0"/>
        <v>0.59319446148660537</v>
      </c>
      <c r="Y12" s="122">
        <f t="shared" si="0"/>
        <v>0.63304872513959376</v>
      </c>
      <c r="Z12" s="122">
        <f t="shared" si="0"/>
        <v>0.68428078713593632</v>
      </c>
      <c r="AA12" s="122">
        <f t="shared" si="0"/>
        <v>0.73870388083266936</v>
      </c>
      <c r="AB12" s="122">
        <f t="shared" si="0"/>
        <v>0.7983433541239483</v>
      </c>
      <c r="AC12" s="122">
        <f t="shared" si="0"/>
        <v>0.85739665921082397</v>
      </c>
      <c r="AD12" s="122">
        <f t="shared" si="0"/>
        <v>0.91035765869783436</v>
      </c>
      <c r="AE12" s="122">
        <f t="shared" si="0"/>
        <v>0.95794963832017355</v>
      </c>
      <c r="AF12" s="122">
        <f t="shared" si="0"/>
        <v>1</v>
      </c>
    </row>
    <row r="13" spans="1:34" x14ac:dyDescent="0.25">
      <c r="C13">
        <f>C6-2025</f>
        <v>-30</v>
      </c>
      <c r="D13">
        <f t="shared" ref="D13:AF13" si="1">D6-2025</f>
        <v>-29</v>
      </c>
      <c r="E13">
        <f t="shared" si="1"/>
        <v>-28</v>
      </c>
      <c r="F13">
        <f t="shared" si="1"/>
        <v>-27</v>
      </c>
      <c r="G13">
        <f t="shared" si="1"/>
        <v>-26</v>
      </c>
      <c r="H13">
        <f t="shared" si="1"/>
        <v>-25</v>
      </c>
      <c r="I13">
        <f t="shared" si="1"/>
        <v>-24</v>
      </c>
      <c r="J13">
        <f t="shared" si="1"/>
        <v>-23</v>
      </c>
      <c r="K13">
        <f t="shared" si="1"/>
        <v>-22</v>
      </c>
      <c r="L13">
        <f t="shared" si="1"/>
        <v>-21</v>
      </c>
      <c r="M13">
        <f t="shared" si="1"/>
        <v>-20</v>
      </c>
      <c r="N13">
        <f t="shared" si="1"/>
        <v>-19</v>
      </c>
      <c r="O13">
        <f t="shared" si="1"/>
        <v>-18</v>
      </c>
      <c r="P13">
        <f t="shared" si="1"/>
        <v>-17</v>
      </c>
      <c r="Q13">
        <f t="shared" si="1"/>
        <v>-16</v>
      </c>
      <c r="R13">
        <f t="shared" si="1"/>
        <v>-15</v>
      </c>
      <c r="S13">
        <f t="shared" si="1"/>
        <v>-14</v>
      </c>
      <c r="T13">
        <f t="shared" si="1"/>
        <v>-13</v>
      </c>
      <c r="U13">
        <f t="shared" si="1"/>
        <v>-12</v>
      </c>
      <c r="V13">
        <f t="shared" si="1"/>
        <v>-11</v>
      </c>
      <c r="W13">
        <f t="shared" si="1"/>
        <v>-10</v>
      </c>
      <c r="X13">
        <f t="shared" si="1"/>
        <v>-9</v>
      </c>
      <c r="Y13">
        <f t="shared" si="1"/>
        <v>-8</v>
      </c>
      <c r="Z13">
        <f t="shared" si="1"/>
        <v>-7</v>
      </c>
      <c r="AA13">
        <f t="shared" si="1"/>
        <v>-6</v>
      </c>
      <c r="AB13">
        <f t="shared" si="1"/>
        <v>-5</v>
      </c>
      <c r="AC13">
        <f t="shared" si="1"/>
        <v>-4</v>
      </c>
      <c r="AD13">
        <f t="shared" si="1"/>
        <v>-3</v>
      </c>
      <c r="AE13">
        <f t="shared" si="1"/>
        <v>-2</v>
      </c>
      <c r="AF13">
        <f t="shared" si="1"/>
        <v>-1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1E12-A726-4F04-8604-497F683112A4}">
  <sheetPr>
    <tabColor theme="2" tint="-0.249977111117893"/>
  </sheetPr>
  <dimension ref="A1:AH13"/>
  <sheetViews>
    <sheetView topLeftCell="E4" workbookViewId="0">
      <selection activeCell="N24" sqref="N24"/>
    </sheetView>
  </sheetViews>
  <sheetFormatPr defaultRowHeight="15" x14ac:dyDescent="0.25"/>
  <cols>
    <col min="2" max="121" width="13.140625" customWidth="1"/>
  </cols>
  <sheetData>
    <row r="1" spans="1:34" x14ac:dyDescent="0.25">
      <c r="A1" t="s">
        <v>109</v>
      </c>
      <c r="G1" t="s">
        <v>152</v>
      </c>
    </row>
    <row r="2" spans="1:34" x14ac:dyDescent="0.25">
      <c r="A2" t="s">
        <v>55</v>
      </c>
    </row>
    <row r="3" spans="1:34" x14ac:dyDescent="0.25">
      <c r="A3" t="s">
        <v>110</v>
      </c>
      <c r="B3" t="s">
        <v>92</v>
      </c>
      <c r="C3" t="s">
        <v>94</v>
      </c>
      <c r="D3" t="s">
        <v>111</v>
      </c>
      <c r="E3" t="s">
        <v>112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M3" t="s">
        <v>120</v>
      </c>
      <c r="N3" t="s">
        <v>121</v>
      </c>
      <c r="O3" t="s">
        <v>122</v>
      </c>
      <c r="P3" t="s">
        <v>123</v>
      </c>
      <c r="Q3" t="s">
        <v>124</v>
      </c>
      <c r="R3" t="s">
        <v>125</v>
      </c>
      <c r="S3" t="s">
        <v>126</v>
      </c>
      <c r="T3" t="s">
        <v>127</v>
      </c>
      <c r="U3" t="s">
        <v>128</v>
      </c>
      <c r="V3" t="s">
        <v>129</v>
      </c>
      <c r="W3" t="s">
        <v>130</v>
      </c>
      <c r="X3" t="s">
        <v>131</v>
      </c>
      <c r="Y3" t="s">
        <v>132</v>
      </c>
      <c r="Z3" t="s">
        <v>133</v>
      </c>
      <c r="AA3" t="s">
        <v>134</v>
      </c>
      <c r="AB3" t="s">
        <v>135</v>
      </c>
      <c r="AC3" t="s">
        <v>136</v>
      </c>
      <c r="AD3" t="s">
        <v>137</v>
      </c>
      <c r="AE3" t="s">
        <v>138</v>
      </c>
      <c r="AF3" t="s">
        <v>139</v>
      </c>
      <c r="AG3" t="s">
        <v>140</v>
      </c>
      <c r="AH3" t="s">
        <v>141</v>
      </c>
    </row>
    <row r="5" spans="1:34" x14ac:dyDescent="0.25">
      <c r="A5" t="s">
        <v>57</v>
      </c>
      <c r="B5" t="s">
        <v>58</v>
      </c>
      <c r="C5" t="s">
        <v>59</v>
      </c>
    </row>
    <row r="6" spans="1:34" x14ac:dyDescent="0.25">
      <c r="C6">
        <v>1995</v>
      </c>
      <c r="D6">
        <v>1996</v>
      </c>
      <c r="E6">
        <v>1997</v>
      </c>
      <c r="F6">
        <v>1998</v>
      </c>
      <c r="G6">
        <v>1999</v>
      </c>
      <c r="H6">
        <v>2000</v>
      </c>
      <c r="I6">
        <v>2001</v>
      </c>
      <c r="J6">
        <v>2002</v>
      </c>
      <c r="K6">
        <v>2003</v>
      </c>
      <c r="L6">
        <v>2004</v>
      </c>
      <c r="M6">
        <v>2005</v>
      </c>
      <c r="N6">
        <v>2006</v>
      </c>
      <c r="O6">
        <v>2007</v>
      </c>
      <c r="P6">
        <v>2008</v>
      </c>
      <c r="Q6">
        <v>2009</v>
      </c>
      <c r="R6">
        <v>2010</v>
      </c>
      <c r="S6">
        <v>2011</v>
      </c>
      <c r="T6">
        <v>2012</v>
      </c>
      <c r="U6">
        <v>2013</v>
      </c>
      <c r="V6">
        <v>2014</v>
      </c>
      <c r="W6">
        <v>2015</v>
      </c>
      <c r="X6">
        <v>2016</v>
      </c>
      <c r="Y6">
        <v>2017</v>
      </c>
      <c r="Z6">
        <v>2018</v>
      </c>
      <c r="AA6">
        <v>2019</v>
      </c>
      <c r="AB6">
        <v>2020</v>
      </c>
      <c r="AC6">
        <v>2021</v>
      </c>
      <c r="AD6">
        <v>2022</v>
      </c>
      <c r="AE6">
        <v>2023</v>
      </c>
      <c r="AF6">
        <v>2024</v>
      </c>
    </row>
    <row r="7" spans="1:34" x14ac:dyDescent="0.25">
      <c r="B7" t="s">
        <v>153</v>
      </c>
      <c r="C7" s="55">
        <v>16152</v>
      </c>
      <c r="D7" s="55">
        <v>54356</v>
      </c>
      <c r="E7" s="55">
        <v>74640</v>
      </c>
      <c r="F7" s="55">
        <v>32005</v>
      </c>
      <c r="G7" s="55">
        <v>40554</v>
      </c>
      <c r="H7" s="55">
        <v>38823</v>
      </c>
      <c r="I7" s="55">
        <v>30337</v>
      </c>
      <c r="J7" s="55">
        <v>32369</v>
      </c>
      <c r="K7" s="55">
        <v>39658</v>
      </c>
      <c r="L7" s="55">
        <v>40188</v>
      </c>
      <c r="M7" s="55">
        <v>41636</v>
      </c>
      <c r="N7" s="55">
        <v>68990</v>
      </c>
      <c r="O7" s="55">
        <v>89479</v>
      </c>
      <c r="P7" s="55">
        <v>59605</v>
      </c>
      <c r="Q7" s="55">
        <v>72854</v>
      </c>
      <c r="R7" s="55">
        <v>77651</v>
      </c>
      <c r="S7" s="55">
        <v>80158</v>
      </c>
      <c r="T7" s="55">
        <v>70827</v>
      </c>
      <c r="U7" s="55">
        <v>38543</v>
      </c>
      <c r="V7" s="55">
        <v>50946</v>
      </c>
      <c r="W7" s="55">
        <v>78852</v>
      </c>
      <c r="X7" s="55">
        <v>63185</v>
      </c>
      <c r="Y7" s="55">
        <v>74473</v>
      </c>
      <c r="Z7" s="55">
        <v>104045</v>
      </c>
      <c r="AA7" s="55">
        <v>111117</v>
      </c>
      <c r="AB7" s="55">
        <v>121714</v>
      </c>
      <c r="AC7" s="55">
        <v>117124</v>
      </c>
      <c r="AD7" s="55">
        <v>100411</v>
      </c>
      <c r="AE7" s="55">
        <v>87504</v>
      </c>
      <c r="AF7" s="55">
        <v>82418</v>
      </c>
    </row>
    <row r="8" spans="1:34" x14ac:dyDescent="0.25">
      <c r="B8" t="s">
        <v>157</v>
      </c>
      <c r="C8" s="55">
        <v>3146</v>
      </c>
      <c r="D8" s="55">
        <v>2818</v>
      </c>
      <c r="E8" s="55">
        <v>3576</v>
      </c>
      <c r="F8" s="55">
        <v>3173</v>
      </c>
      <c r="G8" s="55">
        <v>2941</v>
      </c>
      <c r="H8" s="55">
        <v>2982</v>
      </c>
      <c r="I8" s="55">
        <v>3379</v>
      </c>
      <c r="J8" s="55">
        <v>3691</v>
      </c>
      <c r="K8" s="55">
        <v>4162</v>
      </c>
      <c r="L8" s="55">
        <v>3934</v>
      </c>
      <c r="M8" s="55">
        <v>3526</v>
      </c>
      <c r="N8" s="55">
        <v>4266</v>
      </c>
      <c r="O8" s="55">
        <v>5035</v>
      </c>
      <c r="P8" s="55">
        <v>5027</v>
      </c>
      <c r="Q8" s="55">
        <v>5265</v>
      </c>
      <c r="R8" s="55">
        <v>6789</v>
      </c>
      <c r="S8" s="55">
        <v>6142</v>
      </c>
      <c r="T8" s="55">
        <v>7079</v>
      </c>
      <c r="U8" s="55">
        <v>6295</v>
      </c>
      <c r="V8" s="55">
        <v>5998</v>
      </c>
      <c r="W8" s="55">
        <v>6341</v>
      </c>
      <c r="X8" s="55">
        <v>6654</v>
      </c>
      <c r="Y8" s="55">
        <v>6324</v>
      </c>
      <c r="Z8" s="55">
        <v>6859</v>
      </c>
      <c r="AA8" s="55">
        <v>6320</v>
      </c>
      <c r="AB8" s="55">
        <v>4947</v>
      </c>
      <c r="AC8" s="55">
        <v>5590</v>
      </c>
      <c r="AD8" s="55">
        <v>5037</v>
      </c>
      <c r="AE8" s="55">
        <v>4249</v>
      </c>
      <c r="AF8" s="55">
        <v>2512</v>
      </c>
    </row>
    <row r="9" spans="1:34" x14ac:dyDescent="0.25">
      <c r="B9" t="s">
        <v>150</v>
      </c>
      <c r="C9" s="55">
        <v>6182</v>
      </c>
      <c r="D9" s="55">
        <v>7139</v>
      </c>
      <c r="E9" s="55">
        <v>7836</v>
      </c>
      <c r="F9" s="55">
        <v>8370</v>
      </c>
      <c r="G9" s="55">
        <v>8816</v>
      </c>
      <c r="H9" s="55">
        <v>9451</v>
      </c>
      <c r="I9" s="55">
        <v>9863</v>
      </c>
      <c r="J9" s="55">
        <v>10354</v>
      </c>
      <c r="K9" s="55">
        <v>11605</v>
      </c>
      <c r="L9" s="55">
        <v>11885</v>
      </c>
      <c r="M9" s="55">
        <v>12846</v>
      </c>
      <c r="N9" s="55">
        <v>13233</v>
      </c>
      <c r="O9" s="55">
        <v>14158</v>
      </c>
      <c r="P9" s="55">
        <v>15166</v>
      </c>
      <c r="Q9" s="55">
        <v>16096</v>
      </c>
      <c r="R9" s="55">
        <v>17074</v>
      </c>
      <c r="S9" s="55">
        <v>18513</v>
      </c>
      <c r="T9" s="55">
        <v>20104</v>
      </c>
      <c r="U9" s="55">
        <v>20939</v>
      </c>
      <c r="V9" s="55">
        <v>21943</v>
      </c>
      <c r="W9" s="55">
        <v>24442</v>
      </c>
      <c r="X9" s="55">
        <v>24969</v>
      </c>
      <c r="Y9" s="55">
        <v>27037</v>
      </c>
      <c r="Z9" s="55">
        <v>27715</v>
      </c>
      <c r="AA9" s="55">
        <v>29816</v>
      </c>
      <c r="AB9" s="55">
        <v>34706</v>
      </c>
      <c r="AC9" s="55">
        <v>37067</v>
      </c>
      <c r="AD9" s="55">
        <v>37849</v>
      </c>
      <c r="AE9" s="55">
        <v>37017</v>
      </c>
      <c r="AF9" s="55">
        <v>28846</v>
      </c>
    </row>
    <row r="10" spans="1:34" x14ac:dyDescent="0.25">
      <c r="B10" t="s">
        <v>44</v>
      </c>
      <c r="C10" s="55">
        <v>25480</v>
      </c>
      <c r="D10" s="55">
        <v>64313</v>
      </c>
      <c r="E10" s="55">
        <v>86052</v>
      </c>
      <c r="F10" s="55">
        <v>43548</v>
      </c>
      <c r="G10" s="55">
        <v>52311</v>
      </c>
      <c r="H10" s="55">
        <v>51256</v>
      </c>
      <c r="I10" s="55">
        <v>43579</v>
      </c>
      <c r="J10" s="55">
        <v>46414</v>
      </c>
      <c r="K10" s="55">
        <v>55425</v>
      </c>
      <c r="L10" s="55">
        <v>56007</v>
      </c>
      <c r="M10" s="55">
        <v>58008</v>
      </c>
      <c r="N10" s="55">
        <v>86489</v>
      </c>
      <c r="O10" s="55">
        <v>108672</v>
      </c>
      <c r="P10" s="55">
        <v>79798</v>
      </c>
      <c r="Q10" s="55">
        <v>94215</v>
      </c>
      <c r="R10" s="55">
        <v>101514</v>
      </c>
      <c r="S10" s="55">
        <v>104813</v>
      </c>
      <c r="T10" s="55">
        <v>98010</v>
      </c>
      <c r="U10" s="55">
        <v>65777</v>
      </c>
      <c r="V10" s="55">
        <v>78887</v>
      </c>
      <c r="W10" s="55">
        <v>109635</v>
      </c>
      <c r="X10" s="55">
        <v>94808</v>
      </c>
      <c r="Y10" s="55">
        <v>107834</v>
      </c>
      <c r="Z10" s="55">
        <v>138619</v>
      </c>
      <c r="AA10" s="55">
        <v>147253</v>
      </c>
      <c r="AB10" s="55">
        <v>161367</v>
      </c>
      <c r="AC10" s="55">
        <v>159781</v>
      </c>
      <c r="AD10" s="55">
        <v>143297</v>
      </c>
      <c r="AE10" s="55">
        <v>128770</v>
      </c>
      <c r="AF10" s="55">
        <v>113776</v>
      </c>
    </row>
    <row r="11" spans="1:34" x14ac:dyDescent="0.25">
      <c r="B11" t="s">
        <v>164</v>
      </c>
      <c r="C11" s="98">
        <f>SUM($C$7:C7)</f>
        <v>16152</v>
      </c>
      <c r="D11" s="98">
        <f>SUM($C$7:D7)</f>
        <v>70508</v>
      </c>
      <c r="E11" s="98">
        <f>SUM($C$7:E7)</f>
        <v>145148</v>
      </c>
      <c r="F11" s="98">
        <f>SUM($C$7:F7)</f>
        <v>177153</v>
      </c>
      <c r="G11" s="98">
        <f>SUM($C$7:G7)</f>
        <v>217707</v>
      </c>
      <c r="H11" s="98">
        <f>SUM($C$7:H7)</f>
        <v>256530</v>
      </c>
      <c r="I11" s="98">
        <f>SUM($C$7:I7)</f>
        <v>286867</v>
      </c>
      <c r="J11" s="98">
        <f>SUM($C$7:J7)</f>
        <v>319236</v>
      </c>
      <c r="K11" s="98">
        <f>SUM($C$7:K7)</f>
        <v>358894</v>
      </c>
      <c r="L11" s="98">
        <f>SUM($C$7:L7)</f>
        <v>399082</v>
      </c>
      <c r="M11" s="98">
        <f>SUM($C$7:M7)</f>
        <v>440718</v>
      </c>
      <c r="N11" s="98">
        <f>SUM($C$7:N7)</f>
        <v>509708</v>
      </c>
      <c r="O11" s="98">
        <f>SUM($C$7:O7)</f>
        <v>599187</v>
      </c>
      <c r="P11" s="98">
        <f>SUM($C$7:P7)</f>
        <v>658792</v>
      </c>
      <c r="Q11" s="98">
        <f>SUM($C$7:Q7)</f>
        <v>731646</v>
      </c>
      <c r="R11" s="98">
        <f>SUM($C$7:R7)</f>
        <v>809297</v>
      </c>
      <c r="S11" s="98">
        <f>SUM($C$7:S7)</f>
        <v>889455</v>
      </c>
      <c r="T11" s="98">
        <f>SUM($C$7:T7)</f>
        <v>960282</v>
      </c>
      <c r="U11" s="98">
        <f>SUM($C$7:U7)</f>
        <v>998825</v>
      </c>
      <c r="V11" s="98">
        <f>SUM($C$7:V7)</f>
        <v>1049771</v>
      </c>
      <c r="W11" s="98">
        <f>SUM($C$7:W7)</f>
        <v>1128623</v>
      </c>
      <c r="X11" s="98">
        <f>SUM($C$7:X7)</f>
        <v>1191808</v>
      </c>
      <c r="Y11" s="98">
        <f>SUM($C$7:Y7)</f>
        <v>1266281</v>
      </c>
      <c r="Z11" s="98">
        <f>SUM($C$7:Z7)</f>
        <v>1370326</v>
      </c>
      <c r="AA11" s="98">
        <f>SUM($C$7:AA7)</f>
        <v>1481443</v>
      </c>
      <c r="AB11" s="98">
        <f>SUM($C$7:AB7)</f>
        <v>1603157</v>
      </c>
      <c r="AC11" s="98">
        <f>SUM($C$7:AC7)</f>
        <v>1720281</v>
      </c>
      <c r="AD11" s="98">
        <f>SUM($C$7:AD7)</f>
        <v>1820692</v>
      </c>
      <c r="AE11" s="98">
        <f>SUM($C$7:AE7)</f>
        <v>1908196</v>
      </c>
      <c r="AF11" s="98">
        <f>SUM($C$7:AF7)</f>
        <v>1990614</v>
      </c>
    </row>
    <row r="12" spans="1:34" x14ac:dyDescent="0.25">
      <c r="C12" s="122">
        <f>C11/$AF11</f>
        <v>8.1140793745045504E-3</v>
      </c>
      <c r="D12" s="122">
        <f t="shared" ref="D12:AF12" si="0">D11/$AF11</f>
        <v>3.5420227125901857E-2</v>
      </c>
      <c r="E12" s="122">
        <f t="shared" si="0"/>
        <v>7.2916195706450374E-2</v>
      </c>
      <c r="F12" s="122">
        <f t="shared" si="0"/>
        <v>8.899414954380909E-2</v>
      </c>
      <c r="G12" s="122">
        <f t="shared" si="0"/>
        <v>0.10936675819621483</v>
      </c>
      <c r="H12" s="122">
        <f t="shared" si="0"/>
        <v>0.12886978590525336</v>
      </c>
      <c r="I12" s="122">
        <f t="shared" si="0"/>
        <v>0.14410980732577988</v>
      </c>
      <c r="J12" s="122">
        <f t="shared" si="0"/>
        <v>0.16037061931645211</v>
      </c>
      <c r="K12" s="122">
        <f t="shared" si="0"/>
        <v>0.18029311559147077</v>
      </c>
      <c r="L12" s="122">
        <f t="shared" si="0"/>
        <v>0.20048186137543492</v>
      </c>
      <c r="M12" s="122">
        <f t="shared" si="0"/>
        <v>0.22139802091214067</v>
      </c>
      <c r="N12" s="122">
        <f t="shared" si="0"/>
        <v>0.25605566925581758</v>
      </c>
      <c r="O12" s="122">
        <f t="shared" si="0"/>
        <v>0.30100612172927549</v>
      </c>
      <c r="P12" s="122">
        <f t="shared" si="0"/>
        <v>0.33094914433436118</v>
      </c>
      <c r="Q12" s="122">
        <f t="shared" si="0"/>
        <v>0.36754790230551981</v>
      </c>
      <c r="R12" s="122">
        <f t="shared" si="0"/>
        <v>0.40655646951141711</v>
      </c>
      <c r="S12" s="122">
        <f t="shared" si="0"/>
        <v>0.44682444713038288</v>
      </c>
      <c r="T12" s="122">
        <f t="shared" si="0"/>
        <v>0.48240492631921605</v>
      </c>
      <c r="U12" s="122">
        <f t="shared" si="0"/>
        <v>0.50176729391032115</v>
      </c>
      <c r="V12" s="122">
        <f t="shared" si="0"/>
        <v>0.5273604023683145</v>
      </c>
      <c r="W12" s="122">
        <f t="shared" si="0"/>
        <v>0.56697230100863349</v>
      </c>
      <c r="X12" s="122">
        <f t="shared" si="0"/>
        <v>0.59871376369301132</v>
      </c>
      <c r="Y12" s="122">
        <f t="shared" si="0"/>
        <v>0.63612583856036375</v>
      </c>
      <c r="Z12" s="122">
        <f t="shared" si="0"/>
        <v>0.68839363131174602</v>
      </c>
      <c r="AA12" s="122">
        <f t="shared" si="0"/>
        <v>0.7442140967560763</v>
      </c>
      <c r="AB12" s="122">
        <f t="shared" si="0"/>
        <v>0.80535804530662403</v>
      </c>
      <c r="AC12" s="122">
        <f t="shared" si="0"/>
        <v>0.86419617263819104</v>
      </c>
      <c r="AD12" s="122">
        <f t="shared" si="0"/>
        <v>0.91463839800182256</v>
      </c>
      <c r="AE12" s="122">
        <f t="shared" si="0"/>
        <v>0.95859669428628558</v>
      </c>
      <c r="AF12" s="122">
        <f t="shared" si="0"/>
        <v>1</v>
      </c>
    </row>
    <row r="13" spans="1:34" x14ac:dyDescent="0.25">
      <c r="C13">
        <f>C6-2025</f>
        <v>-30</v>
      </c>
      <c r="D13">
        <f t="shared" ref="D13:AF13" si="1">D6-2025</f>
        <v>-29</v>
      </c>
      <c r="E13">
        <f t="shared" si="1"/>
        <v>-28</v>
      </c>
      <c r="F13">
        <f t="shared" si="1"/>
        <v>-27</v>
      </c>
      <c r="G13">
        <f t="shared" si="1"/>
        <v>-26</v>
      </c>
      <c r="H13">
        <f t="shared" si="1"/>
        <v>-25</v>
      </c>
      <c r="I13">
        <f t="shared" si="1"/>
        <v>-24</v>
      </c>
      <c r="J13">
        <f t="shared" si="1"/>
        <v>-23</v>
      </c>
      <c r="K13">
        <f t="shared" si="1"/>
        <v>-22</v>
      </c>
      <c r="L13">
        <f t="shared" si="1"/>
        <v>-21</v>
      </c>
      <c r="M13">
        <f t="shared" si="1"/>
        <v>-20</v>
      </c>
      <c r="N13">
        <f t="shared" si="1"/>
        <v>-19</v>
      </c>
      <c r="O13">
        <f t="shared" si="1"/>
        <v>-18</v>
      </c>
      <c r="P13">
        <f t="shared" si="1"/>
        <v>-17</v>
      </c>
      <c r="Q13">
        <f t="shared" si="1"/>
        <v>-16</v>
      </c>
      <c r="R13">
        <f t="shared" si="1"/>
        <v>-15</v>
      </c>
      <c r="S13">
        <f t="shared" si="1"/>
        <v>-14</v>
      </c>
      <c r="T13">
        <f t="shared" si="1"/>
        <v>-13</v>
      </c>
      <c r="U13">
        <f t="shared" si="1"/>
        <v>-12</v>
      </c>
      <c r="V13">
        <f t="shared" si="1"/>
        <v>-11</v>
      </c>
      <c r="W13">
        <f t="shared" si="1"/>
        <v>-10</v>
      </c>
      <c r="X13">
        <f t="shared" si="1"/>
        <v>-9</v>
      </c>
      <c r="Y13">
        <f t="shared" si="1"/>
        <v>-8</v>
      </c>
      <c r="Z13">
        <f t="shared" si="1"/>
        <v>-7</v>
      </c>
      <c r="AA13">
        <f t="shared" si="1"/>
        <v>-6</v>
      </c>
      <c r="AB13">
        <f t="shared" si="1"/>
        <v>-5</v>
      </c>
      <c r="AC13">
        <f t="shared" si="1"/>
        <v>-4</v>
      </c>
      <c r="AD13">
        <f t="shared" si="1"/>
        <v>-3</v>
      </c>
      <c r="AE13">
        <f t="shared" si="1"/>
        <v>-2</v>
      </c>
      <c r="AF13">
        <f t="shared" si="1"/>
        <v>-1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EDE2-0C71-4395-B43C-D3AE87AA3A95}">
  <sheetPr>
    <tabColor rgb="FFFF0000"/>
  </sheetPr>
  <dimension ref="A1"/>
  <sheetViews>
    <sheetView topLeftCell="A16" workbookViewId="0">
      <selection activeCell="N24" sqref="N2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E549-2C10-40B3-A366-33092BED42D2}">
  <sheetPr>
    <tabColor rgb="FFC00000"/>
  </sheetPr>
  <dimension ref="A1"/>
  <sheetViews>
    <sheetView topLeftCell="L1" workbookViewId="0">
      <selection activeCell="E54" sqref="E54"/>
    </sheetView>
  </sheetViews>
  <sheetFormatPr defaultRowHeight="15" x14ac:dyDescent="0.25"/>
  <cols>
    <col min="1" max="16384" width="9.140625" style="36"/>
  </cols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BF76-6B04-459E-A819-DB1A433E6F2A}">
  <sheetPr>
    <tabColor rgb="FF0070C0"/>
  </sheetPr>
  <dimension ref="C5:BA51"/>
  <sheetViews>
    <sheetView topLeftCell="AB26" zoomScale="110" zoomScaleNormal="110" workbookViewId="0">
      <selection activeCell="AQ46" sqref="AQ46"/>
    </sheetView>
  </sheetViews>
  <sheetFormatPr defaultRowHeight="15" x14ac:dyDescent="0.25"/>
  <cols>
    <col min="1" max="3" width="9.140625" style="2"/>
    <col min="4" max="4" width="18.85546875" style="2" customWidth="1"/>
    <col min="5" max="7" width="16.42578125" style="2" customWidth="1"/>
    <col min="8" max="17" width="9.140625" style="2"/>
    <col min="18" max="18" width="3.28515625" style="2" customWidth="1"/>
    <col min="19" max="19" width="5.7109375" style="2" customWidth="1"/>
    <col min="20" max="51" width="8.5703125" style="2" customWidth="1"/>
    <col min="52" max="16384" width="9.140625" style="2"/>
  </cols>
  <sheetData>
    <row r="5" spans="3:53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3:53" x14ac:dyDescent="0.25"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3:53" ht="7.5" customHeight="1" thickBot="1" x14ac:dyDescent="0.3"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5" t="s">
        <v>6</v>
      </c>
      <c r="AZ7" s="1"/>
      <c r="BA7" s="1"/>
    </row>
    <row r="8" spans="3:53" ht="7.5" customHeight="1" thickTop="1" thickBot="1" x14ac:dyDescent="0.3">
      <c r="Q8" s="1"/>
      <c r="R8" s="173"/>
      <c r="S8" s="174"/>
      <c r="T8" s="187"/>
      <c r="U8" s="187"/>
      <c r="V8" s="187"/>
      <c r="W8" s="188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8"/>
      <c r="AZ8" s="1"/>
      <c r="BA8" s="1"/>
    </row>
    <row r="9" spans="3:53" ht="7.5" customHeight="1" thickTop="1" thickBot="1" x14ac:dyDescent="0.3">
      <c r="D9" s="179" t="s">
        <v>45</v>
      </c>
      <c r="E9" s="180"/>
      <c r="F9" s="180"/>
      <c r="G9" s="181"/>
      <c r="Q9" s="1"/>
      <c r="R9" s="175"/>
      <c r="S9" s="176"/>
      <c r="T9" s="192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9"/>
      <c r="AV9" s="195"/>
      <c r="AW9" s="196"/>
      <c r="AX9" s="9"/>
      <c r="AY9" s="9"/>
      <c r="AZ9" s="1"/>
      <c r="BA9" s="1"/>
    </row>
    <row r="10" spans="3:53" ht="42" thickTop="1" thickBot="1" x14ac:dyDescent="0.3">
      <c r="D10" s="48" t="s">
        <v>29</v>
      </c>
      <c r="E10" s="48" t="s">
        <v>30</v>
      </c>
      <c r="F10" s="48" t="s">
        <v>31</v>
      </c>
      <c r="G10" s="48" t="s">
        <v>32</v>
      </c>
      <c r="I10" s="182" t="s">
        <v>47</v>
      </c>
      <c r="J10" s="182"/>
      <c r="K10" s="182" t="s">
        <v>48</v>
      </c>
      <c r="L10" s="182"/>
      <c r="Q10" s="1"/>
      <c r="R10" s="177"/>
      <c r="S10" s="178"/>
      <c r="T10" s="62">
        <v>1995</v>
      </c>
      <c r="U10" s="50">
        <v>1996</v>
      </c>
      <c r="V10" s="50">
        <v>1997</v>
      </c>
      <c r="W10" s="60">
        <v>1998</v>
      </c>
      <c r="X10" s="60">
        <v>1999</v>
      </c>
      <c r="Y10" s="60">
        <v>2000</v>
      </c>
      <c r="Z10" s="56">
        <v>2001</v>
      </c>
      <c r="AA10" s="56">
        <v>2002</v>
      </c>
      <c r="AB10" s="56">
        <v>2003</v>
      </c>
      <c r="AC10" s="56">
        <v>2004</v>
      </c>
      <c r="AD10" s="56">
        <v>2005</v>
      </c>
      <c r="AE10" s="56">
        <v>2006</v>
      </c>
      <c r="AF10" s="56">
        <v>2007</v>
      </c>
      <c r="AG10" s="67">
        <v>2008</v>
      </c>
      <c r="AH10" s="67">
        <v>2009</v>
      </c>
      <c r="AI10" s="67">
        <v>2010</v>
      </c>
      <c r="AJ10" s="56">
        <v>2011</v>
      </c>
      <c r="AK10" s="65">
        <v>2012</v>
      </c>
      <c r="AL10" s="65">
        <v>2013</v>
      </c>
      <c r="AM10" s="70">
        <v>2014</v>
      </c>
      <c r="AN10" s="69">
        <v>2015</v>
      </c>
      <c r="AO10" s="69">
        <v>2016</v>
      </c>
      <c r="AP10" s="69">
        <v>2017</v>
      </c>
      <c r="AQ10" s="69">
        <v>2018</v>
      </c>
      <c r="AR10" s="66">
        <v>2019</v>
      </c>
      <c r="AS10" s="63">
        <v>2020</v>
      </c>
      <c r="AT10" s="63">
        <v>2021</v>
      </c>
      <c r="AU10" s="57">
        <v>2022</v>
      </c>
      <c r="AV10" s="59">
        <v>2023</v>
      </c>
      <c r="AW10" s="59">
        <v>2024</v>
      </c>
      <c r="AX10" s="57">
        <v>2025</v>
      </c>
      <c r="AY10" s="54">
        <v>2026</v>
      </c>
      <c r="AZ10" s="1"/>
      <c r="BA10" s="1"/>
    </row>
    <row r="11" spans="3:53" ht="15.75" thickTop="1" x14ac:dyDescent="0.25">
      <c r="C11" s="49">
        <v>1</v>
      </c>
      <c r="D11" s="44" t="s">
        <v>33</v>
      </c>
      <c r="E11" s="46">
        <v>1239616</v>
      </c>
      <c r="F11" s="46">
        <v>272.69</v>
      </c>
      <c r="G11" s="46">
        <v>4394459093.54</v>
      </c>
      <c r="H11" s="58">
        <v>1</v>
      </c>
      <c r="I11" s="53">
        <f>E11/$E$22</f>
        <v>8.6883580308661224E-2</v>
      </c>
      <c r="J11" s="53">
        <f>SUM($I$11:I11)</f>
        <v>8.6883580308661224E-2</v>
      </c>
      <c r="K11" s="53">
        <f>G11/$G$22</f>
        <v>1.5011824145800174E-2</v>
      </c>
      <c r="L11" s="53">
        <f>SUM($K$11:K11)</f>
        <v>1.5011824145800174E-2</v>
      </c>
      <c r="Q11" s="1"/>
      <c r="R11" s="185" t="s">
        <v>1</v>
      </c>
      <c r="S11" s="3">
        <v>1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6">
        <v>100</v>
      </c>
      <c r="AF11" s="6">
        <v>100</v>
      </c>
      <c r="AG11" s="6">
        <v>100</v>
      </c>
      <c r="AH11" s="6">
        <v>100</v>
      </c>
      <c r="AI11" s="6">
        <v>100</v>
      </c>
      <c r="AJ11" s="6">
        <v>100</v>
      </c>
      <c r="AK11" s="6">
        <v>100</v>
      </c>
      <c r="AL11" s="6">
        <v>100</v>
      </c>
      <c r="AM11" s="6">
        <v>100</v>
      </c>
      <c r="AN11" s="6">
        <v>100</v>
      </c>
      <c r="AO11" s="6">
        <v>100</v>
      </c>
      <c r="AP11" s="6">
        <v>100</v>
      </c>
      <c r="AQ11" s="6">
        <v>100</v>
      </c>
      <c r="AR11" s="6">
        <v>100</v>
      </c>
      <c r="AS11" s="6">
        <v>100</v>
      </c>
      <c r="AT11" s="6">
        <v>100</v>
      </c>
      <c r="AU11" s="6">
        <v>100</v>
      </c>
      <c r="AV11" s="6">
        <v>100</v>
      </c>
      <c r="AW11" s="6">
        <v>100</v>
      </c>
      <c r="AX11" s="6">
        <v>100</v>
      </c>
      <c r="AY11" s="38">
        <v>100</v>
      </c>
      <c r="AZ11" s="1"/>
      <c r="BA11" s="1"/>
    </row>
    <row r="12" spans="3:53" x14ac:dyDescent="0.25">
      <c r="C12" s="49">
        <v>2</v>
      </c>
      <c r="D12" s="44" t="s">
        <v>34</v>
      </c>
      <c r="E12" s="46">
        <v>3870395</v>
      </c>
      <c r="F12" s="46">
        <v>756.59</v>
      </c>
      <c r="G12" s="46">
        <v>38068101562.07</v>
      </c>
      <c r="H12" s="58">
        <v>2</v>
      </c>
      <c r="I12" s="53">
        <f t="shared" ref="I12:I22" si="0">E12/$E$22</f>
        <v>0.27127253505016136</v>
      </c>
      <c r="J12" s="53">
        <f>SUM($I$11:I12)</f>
        <v>0.35815611535882258</v>
      </c>
      <c r="K12" s="53">
        <f t="shared" ref="K12:K22" si="1">G12/$G$22</f>
        <v>0.13004368320422824</v>
      </c>
      <c r="L12" s="53">
        <f>SUM($K$11:K12)</f>
        <v>0.14505550735002842</v>
      </c>
      <c r="Q12" s="1"/>
      <c r="R12" s="185"/>
      <c r="S12" s="3">
        <v>2</v>
      </c>
      <c r="T12" s="4">
        <v>100</v>
      </c>
      <c r="U12" s="4">
        <v>100</v>
      </c>
      <c r="V12" s="4">
        <v>100</v>
      </c>
      <c r="W12" s="4">
        <v>100</v>
      </c>
      <c r="X12" s="4">
        <v>100</v>
      </c>
      <c r="Y12" s="4">
        <v>100</v>
      </c>
      <c r="Z12" s="4">
        <v>100</v>
      </c>
      <c r="AA12" s="4">
        <v>100</v>
      </c>
      <c r="AB12" s="4">
        <v>100</v>
      </c>
      <c r="AC12" s="4">
        <v>100</v>
      </c>
      <c r="AD12" s="4">
        <v>100</v>
      </c>
      <c r="AE12" s="4">
        <v>100</v>
      </c>
      <c r="AF12" s="4">
        <v>100</v>
      </c>
      <c r="AG12" s="4">
        <v>100</v>
      </c>
      <c r="AH12" s="4">
        <v>100</v>
      </c>
      <c r="AI12" s="4">
        <v>100</v>
      </c>
      <c r="AJ12" s="4">
        <v>100</v>
      </c>
      <c r="AK12" s="4">
        <v>100</v>
      </c>
      <c r="AL12" s="4">
        <v>100</v>
      </c>
      <c r="AM12" s="4">
        <v>100</v>
      </c>
      <c r="AN12" s="4">
        <v>100</v>
      </c>
      <c r="AO12" s="4">
        <v>100</v>
      </c>
      <c r="AP12" s="4">
        <v>100</v>
      </c>
      <c r="AQ12" s="4">
        <v>100</v>
      </c>
      <c r="AR12" s="4">
        <v>100</v>
      </c>
      <c r="AS12" s="4">
        <v>100</v>
      </c>
      <c r="AT12" s="4">
        <v>100</v>
      </c>
      <c r="AU12" s="4">
        <v>100</v>
      </c>
      <c r="AV12" s="4">
        <v>100</v>
      </c>
      <c r="AW12" s="4">
        <v>100</v>
      </c>
      <c r="AX12" s="4">
        <v>100</v>
      </c>
      <c r="AY12" s="39">
        <v>100</v>
      </c>
      <c r="AZ12" s="1"/>
      <c r="BA12" s="1"/>
    </row>
    <row r="13" spans="3:53" x14ac:dyDescent="0.25">
      <c r="C13" s="49">
        <v>3</v>
      </c>
      <c r="D13" s="44" t="s">
        <v>35</v>
      </c>
      <c r="E13" s="46">
        <v>3488899</v>
      </c>
      <c r="F13" s="46">
        <v>1316.18</v>
      </c>
      <c r="G13" s="46">
        <v>59696377524.93</v>
      </c>
      <c r="H13" s="58">
        <v>3</v>
      </c>
      <c r="I13" s="53">
        <f t="shared" si="0"/>
        <v>0.24453382051805383</v>
      </c>
      <c r="J13" s="53">
        <f>SUM($I$11:I13)</f>
        <v>0.60268993587687647</v>
      </c>
      <c r="K13" s="53">
        <f t="shared" si="1"/>
        <v>0.20392760575765045</v>
      </c>
      <c r="L13" s="53">
        <f>SUM($K$11:K13)</f>
        <v>0.34898311310767888</v>
      </c>
      <c r="Q13" s="1"/>
      <c r="R13" s="185"/>
      <c r="S13" s="3">
        <v>3</v>
      </c>
      <c r="T13" s="4">
        <v>90</v>
      </c>
      <c r="U13" s="4">
        <v>90</v>
      </c>
      <c r="V13" s="4">
        <v>90</v>
      </c>
      <c r="W13" s="4">
        <v>90</v>
      </c>
      <c r="X13" s="4">
        <v>90</v>
      </c>
      <c r="Y13" s="4">
        <v>90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N13" s="4">
        <v>100</v>
      </c>
      <c r="AO13" s="4">
        <v>100</v>
      </c>
      <c r="AP13" s="4">
        <v>100</v>
      </c>
      <c r="AQ13" s="4">
        <v>100</v>
      </c>
      <c r="AR13" s="4">
        <v>100</v>
      </c>
      <c r="AS13" s="4">
        <v>100</v>
      </c>
      <c r="AT13" s="4">
        <v>100</v>
      </c>
      <c r="AU13" s="4">
        <v>100</v>
      </c>
      <c r="AV13" s="4">
        <v>100</v>
      </c>
      <c r="AW13" s="4">
        <v>100</v>
      </c>
      <c r="AX13" s="4">
        <v>100</v>
      </c>
      <c r="AY13" s="39">
        <v>100</v>
      </c>
      <c r="AZ13" s="1"/>
      <c r="BA13" s="1"/>
    </row>
    <row r="14" spans="3:53" x14ac:dyDescent="0.25">
      <c r="C14" s="49">
        <v>4</v>
      </c>
      <c r="D14" s="44" t="s">
        <v>36</v>
      </c>
      <c r="E14" s="46">
        <v>2407576</v>
      </c>
      <c r="F14" s="46">
        <v>1824.13</v>
      </c>
      <c r="G14" s="46">
        <v>57092560198.25</v>
      </c>
      <c r="H14" s="58">
        <v>4</v>
      </c>
      <c r="I14" s="53">
        <f t="shared" si="0"/>
        <v>0.1687448554594369</v>
      </c>
      <c r="J14" s="53">
        <f>SUM($I$11:I14)</f>
        <v>0.77143479133631332</v>
      </c>
      <c r="K14" s="53">
        <f t="shared" si="1"/>
        <v>0.19503275727143551</v>
      </c>
      <c r="L14" s="53">
        <f>SUM($K$11:K14)</f>
        <v>0.54401587037911436</v>
      </c>
      <c r="Q14" s="1"/>
      <c r="R14" s="185"/>
      <c r="S14" s="3">
        <v>4</v>
      </c>
      <c r="T14" s="4">
        <v>75</v>
      </c>
      <c r="U14" s="4">
        <v>75</v>
      </c>
      <c r="V14" s="4">
        <v>75</v>
      </c>
      <c r="W14" s="4">
        <v>75</v>
      </c>
      <c r="X14" s="4">
        <v>75</v>
      </c>
      <c r="Y14" s="4">
        <v>75</v>
      </c>
      <c r="Z14" s="4">
        <v>90</v>
      </c>
      <c r="AA14" s="4">
        <v>90</v>
      </c>
      <c r="AB14" s="4">
        <v>90</v>
      </c>
      <c r="AC14" s="4">
        <v>90</v>
      </c>
      <c r="AD14" s="4">
        <v>90</v>
      </c>
      <c r="AE14" s="4">
        <v>90</v>
      </c>
      <c r="AF14" s="4">
        <v>90</v>
      </c>
      <c r="AG14" s="4">
        <v>100</v>
      </c>
      <c r="AH14" s="4">
        <v>100</v>
      </c>
      <c r="AI14" s="4">
        <v>100</v>
      </c>
      <c r="AJ14" s="4">
        <v>90</v>
      </c>
      <c r="AK14" s="4">
        <v>40</v>
      </c>
      <c r="AL14" s="4">
        <v>40</v>
      </c>
      <c r="AM14" s="4">
        <v>95</v>
      </c>
      <c r="AN14" s="4">
        <v>95</v>
      </c>
      <c r="AO14" s="4">
        <v>95</v>
      </c>
      <c r="AP14" s="4">
        <v>95</v>
      </c>
      <c r="AQ14" s="4">
        <v>95</v>
      </c>
      <c r="AR14" s="4">
        <v>97</v>
      </c>
      <c r="AS14" s="4">
        <v>100</v>
      </c>
      <c r="AT14" s="4">
        <v>100</v>
      </c>
      <c r="AU14" s="4">
        <v>100</v>
      </c>
      <c r="AV14" s="4">
        <v>100</v>
      </c>
      <c r="AW14" s="4">
        <v>100</v>
      </c>
      <c r="AX14" s="4">
        <v>100</v>
      </c>
      <c r="AY14" s="39">
        <v>100</v>
      </c>
      <c r="AZ14" s="1"/>
      <c r="BA14" s="1"/>
    </row>
    <row r="15" spans="3:53" x14ac:dyDescent="0.25">
      <c r="C15" s="49">
        <v>5</v>
      </c>
      <c r="D15" s="44" t="s">
        <v>37</v>
      </c>
      <c r="E15" s="46">
        <v>1529558</v>
      </c>
      <c r="F15" s="46">
        <v>2343.69</v>
      </c>
      <c r="G15" s="46">
        <v>46602616234</v>
      </c>
      <c r="H15" s="58">
        <v>5</v>
      </c>
      <c r="I15" s="53">
        <f t="shared" si="0"/>
        <v>0.10720535660216973</v>
      </c>
      <c r="J15" s="53">
        <f>SUM($I$11:I15)</f>
        <v>0.87864014793848311</v>
      </c>
      <c r="K15" s="53">
        <f t="shared" si="1"/>
        <v>0.15919826871694887</v>
      </c>
      <c r="L15" s="53">
        <f>SUM($K$11:K15)</f>
        <v>0.70321413909606323</v>
      </c>
      <c r="Q15" s="1"/>
      <c r="R15" s="185"/>
      <c r="S15" s="3">
        <v>5</v>
      </c>
      <c r="T15" s="4">
        <v>75</v>
      </c>
      <c r="U15" s="4">
        <v>75</v>
      </c>
      <c r="V15" s="4">
        <v>75</v>
      </c>
      <c r="W15" s="4">
        <v>75</v>
      </c>
      <c r="X15" s="4">
        <v>75</v>
      </c>
      <c r="Y15" s="4">
        <v>75</v>
      </c>
      <c r="Z15" s="4">
        <v>90</v>
      </c>
      <c r="AA15" s="4">
        <v>90</v>
      </c>
      <c r="AB15" s="4">
        <v>90</v>
      </c>
      <c r="AC15" s="4">
        <v>90</v>
      </c>
      <c r="AD15" s="4">
        <v>90</v>
      </c>
      <c r="AE15" s="4">
        <v>90</v>
      </c>
      <c r="AF15" s="4">
        <v>90</v>
      </c>
      <c r="AG15" s="4">
        <v>100</v>
      </c>
      <c r="AH15" s="4">
        <v>100</v>
      </c>
      <c r="AI15" s="4">
        <v>100</v>
      </c>
      <c r="AJ15" s="4">
        <v>90</v>
      </c>
      <c r="AK15" s="4">
        <v>20</v>
      </c>
      <c r="AL15" s="4">
        <v>20</v>
      </c>
      <c r="AM15" s="4">
        <v>75</v>
      </c>
      <c r="AN15" s="4">
        <v>75</v>
      </c>
      <c r="AO15" s="4">
        <v>75</v>
      </c>
      <c r="AP15" s="4">
        <v>75</v>
      </c>
      <c r="AQ15" s="4">
        <v>75</v>
      </c>
      <c r="AR15" s="4">
        <v>77</v>
      </c>
      <c r="AS15" s="4">
        <v>77</v>
      </c>
      <c r="AT15" s="4">
        <v>77</v>
      </c>
      <c r="AU15" s="4">
        <v>90</v>
      </c>
      <c r="AV15" s="4">
        <v>85</v>
      </c>
      <c r="AW15" s="4">
        <v>85</v>
      </c>
      <c r="AX15" s="4">
        <v>90</v>
      </c>
      <c r="AY15" s="39">
        <v>90</v>
      </c>
      <c r="AZ15" s="1"/>
      <c r="BA15" s="1"/>
    </row>
    <row r="16" spans="3:53" x14ac:dyDescent="0.25">
      <c r="C16" s="49">
        <v>6</v>
      </c>
      <c r="D16" s="44" t="s">
        <v>38</v>
      </c>
      <c r="E16" s="46">
        <v>734699</v>
      </c>
      <c r="F16" s="46">
        <v>2858.45</v>
      </c>
      <c r="G16" s="46">
        <v>27301324401.029999</v>
      </c>
      <c r="H16" s="58">
        <v>6</v>
      </c>
      <c r="I16" s="53">
        <f t="shared" si="0"/>
        <v>5.1494397917736696E-2</v>
      </c>
      <c r="J16" s="53">
        <f>SUM($I$11:I16)</f>
        <v>0.9301345458562198</v>
      </c>
      <c r="K16" s="53">
        <f t="shared" si="1"/>
        <v>9.326351028234349E-2</v>
      </c>
      <c r="L16" s="53">
        <f>SUM($K$11:K16)</f>
        <v>0.7964776493784067</v>
      </c>
      <c r="Q16" s="1"/>
      <c r="R16" s="185"/>
      <c r="S16" s="3">
        <v>6</v>
      </c>
      <c r="T16" s="4">
        <v>75</v>
      </c>
      <c r="U16" s="4">
        <v>75</v>
      </c>
      <c r="V16" s="4">
        <v>75</v>
      </c>
      <c r="W16" s="4">
        <v>0</v>
      </c>
      <c r="X16" s="4">
        <v>30</v>
      </c>
      <c r="Y16" s="4">
        <v>30</v>
      </c>
      <c r="Z16" s="4">
        <v>75</v>
      </c>
      <c r="AA16" s="4">
        <v>75</v>
      </c>
      <c r="AB16" s="4">
        <v>75</v>
      </c>
      <c r="AC16" s="4">
        <v>75</v>
      </c>
      <c r="AD16" s="4">
        <v>75</v>
      </c>
      <c r="AE16" s="4">
        <v>75</v>
      </c>
      <c r="AF16" s="4">
        <v>75</v>
      </c>
      <c r="AG16" s="4">
        <v>75</v>
      </c>
      <c r="AH16" s="4">
        <v>75</v>
      </c>
      <c r="AI16" s="4">
        <v>75</v>
      </c>
      <c r="AJ16" s="4">
        <v>75</v>
      </c>
      <c r="AK16" s="4">
        <v>10</v>
      </c>
      <c r="AL16" s="4">
        <v>10</v>
      </c>
      <c r="AM16" s="4">
        <v>50</v>
      </c>
      <c r="AN16" s="4">
        <v>50</v>
      </c>
      <c r="AO16" s="4">
        <v>50</v>
      </c>
      <c r="AP16" s="4">
        <v>50</v>
      </c>
      <c r="AQ16" s="4">
        <v>50</v>
      </c>
      <c r="AR16" s="4">
        <v>52</v>
      </c>
      <c r="AS16" s="4">
        <v>52</v>
      </c>
      <c r="AT16" s="4">
        <v>52</v>
      </c>
      <c r="AU16" s="4">
        <v>75</v>
      </c>
      <c r="AV16" s="4">
        <v>53</v>
      </c>
      <c r="AW16" s="4">
        <v>53</v>
      </c>
      <c r="AX16" s="4">
        <v>75</v>
      </c>
      <c r="AY16" s="39">
        <v>75</v>
      </c>
      <c r="AZ16" s="1"/>
      <c r="BA16" s="1"/>
    </row>
    <row r="17" spans="3:53" x14ac:dyDescent="0.25">
      <c r="C17" s="49">
        <v>7</v>
      </c>
      <c r="D17" s="44" t="s">
        <v>39</v>
      </c>
      <c r="E17" s="46">
        <v>366953</v>
      </c>
      <c r="F17" s="46">
        <v>3383.51</v>
      </c>
      <c r="G17" s="46">
        <v>16140675372.41</v>
      </c>
      <c r="H17" s="58">
        <v>7</v>
      </c>
      <c r="I17" s="53">
        <f t="shared" si="0"/>
        <v>2.5719408627352471E-2</v>
      </c>
      <c r="J17" s="53">
        <f>SUM($I$11:I17)</f>
        <v>0.95585395448357224</v>
      </c>
      <c r="K17" s="53">
        <f t="shared" si="1"/>
        <v>5.5137839521878153E-2</v>
      </c>
      <c r="L17" s="53">
        <f>SUM($K$11:K17)</f>
        <v>0.85161548890028482</v>
      </c>
      <c r="Q17" s="1"/>
      <c r="R17" s="185"/>
      <c r="S17" s="3">
        <v>7</v>
      </c>
      <c r="T17" s="4">
        <v>75</v>
      </c>
      <c r="U17" s="4">
        <v>75</v>
      </c>
      <c r="V17" s="4">
        <v>75</v>
      </c>
      <c r="W17" s="4">
        <v>0</v>
      </c>
      <c r="X17" s="4">
        <v>30</v>
      </c>
      <c r="Y17" s="4">
        <v>30</v>
      </c>
      <c r="Z17" s="4">
        <v>75</v>
      </c>
      <c r="AA17" s="4">
        <v>75</v>
      </c>
      <c r="AB17" s="4">
        <v>75</v>
      </c>
      <c r="AC17" s="4">
        <v>75</v>
      </c>
      <c r="AD17" s="4">
        <v>75</v>
      </c>
      <c r="AE17" s="4">
        <v>75</v>
      </c>
      <c r="AF17" s="4">
        <v>75</v>
      </c>
      <c r="AG17" s="4">
        <v>75</v>
      </c>
      <c r="AH17" s="4">
        <v>75</v>
      </c>
      <c r="AI17" s="4">
        <v>75</v>
      </c>
      <c r="AJ17" s="4">
        <v>75</v>
      </c>
      <c r="AK17" s="4">
        <v>0</v>
      </c>
      <c r="AL17" s="4">
        <v>0</v>
      </c>
      <c r="AM17" s="4">
        <v>40</v>
      </c>
      <c r="AN17" s="4">
        <v>45</v>
      </c>
      <c r="AO17" s="4">
        <v>45</v>
      </c>
      <c r="AP17" s="4">
        <v>45</v>
      </c>
      <c r="AQ17" s="4">
        <v>45</v>
      </c>
      <c r="AR17" s="4">
        <v>47</v>
      </c>
      <c r="AS17" s="4">
        <v>47</v>
      </c>
      <c r="AT17" s="4">
        <v>47</v>
      </c>
      <c r="AU17" s="4">
        <v>75</v>
      </c>
      <c r="AV17" s="4">
        <v>47</v>
      </c>
      <c r="AW17" s="4">
        <v>47</v>
      </c>
      <c r="AX17" s="4">
        <v>75</v>
      </c>
      <c r="AY17" s="39">
        <v>75</v>
      </c>
      <c r="AZ17" s="1"/>
      <c r="BA17" s="1"/>
    </row>
    <row r="18" spans="3:53" x14ac:dyDescent="0.25">
      <c r="C18" s="49">
        <v>8</v>
      </c>
      <c r="D18" s="44" t="s">
        <v>40</v>
      </c>
      <c r="E18" s="46">
        <v>191471</v>
      </c>
      <c r="F18" s="46">
        <v>3913.9</v>
      </c>
      <c r="G18" s="46">
        <v>9742179313.7099991</v>
      </c>
      <c r="H18" s="58">
        <v>8</v>
      </c>
      <c r="I18" s="53">
        <f t="shared" si="0"/>
        <v>1.3420031691491294E-2</v>
      </c>
      <c r="J18" s="53">
        <f>SUM($I$11:I18)</f>
        <v>0.96927398617506355</v>
      </c>
      <c r="K18" s="53">
        <f t="shared" si="1"/>
        <v>3.3280064631675821E-2</v>
      </c>
      <c r="L18" s="53">
        <f>SUM($K$11:K18)</f>
        <v>0.8848955535319607</v>
      </c>
      <c r="Q18" s="1"/>
      <c r="R18" s="185"/>
      <c r="S18" s="3">
        <v>8</v>
      </c>
      <c r="T18" s="4">
        <v>75</v>
      </c>
      <c r="U18" s="4">
        <v>75</v>
      </c>
      <c r="V18" s="4">
        <v>75</v>
      </c>
      <c r="W18" s="4">
        <v>0</v>
      </c>
      <c r="X18" s="4">
        <v>30</v>
      </c>
      <c r="Y18" s="4">
        <v>30</v>
      </c>
      <c r="Z18" s="4">
        <v>75</v>
      </c>
      <c r="AA18" s="4">
        <v>75</v>
      </c>
      <c r="AB18" s="4">
        <v>75</v>
      </c>
      <c r="AC18" s="4">
        <v>75</v>
      </c>
      <c r="AD18" s="4">
        <v>75</v>
      </c>
      <c r="AE18" s="4">
        <v>75</v>
      </c>
      <c r="AF18" s="4">
        <v>75</v>
      </c>
      <c r="AG18" s="4">
        <v>75</v>
      </c>
      <c r="AH18" s="4">
        <v>75</v>
      </c>
      <c r="AI18" s="4">
        <v>75</v>
      </c>
      <c r="AJ18" s="4">
        <v>75</v>
      </c>
      <c r="AK18" s="4">
        <v>0</v>
      </c>
      <c r="AL18" s="4">
        <v>0</v>
      </c>
      <c r="AM18" s="4">
        <v>0</v>
      </c>
      <c r="AN18" s="4">
        <v>45</v>
      </c>
      <c r="AO18" s="4">
        <v>45</v>
      </c>
      <c r="AP18" s="4">
        <v>45</v>
      </c>
      <c r="AQ18" s="4">
        <v>45</v>
      </c>
      <c r="AR18" s="4">
        <v>47</v>
      </c>
      <c r="AS18" s="4">
        <v>47</v>
      </c>
      <c r="AT18" s="4">
        <v>47</v>
      </c>
      <c r="AU18" s="4">
        <v>75</v>
      </c>
      <c r="AV18" s="4">
        <v>47</v>
      </c>
      <c r="AW18" s="4">
        <v>47</v>
      </c>
      <c r="AX18" s="4">
        <v>75</v>
      </c>
      <c r="AY18" s="39">
        <v>75</v>
      </c>
      <c r="AZ18" s="1"/>
      <c r="BA18" s="1"/>
    </row>
    <row r="19" spans="3:53" x14ac:dyDescent="0.25">
      <c r="C19" s="49">
        <v>9</v>
      </c>
      <c r="D19" s="44" t="s">
        <v>41</v>
      </c>
      <c r="E19" s="46">
        <v>115269</v>
      </c>
      <c r="F19" s="46">
        <v>4450.38</v>
      </c>
      <c r="G19" s="46">
        <v>6668874671.3100004</v>
      </c>
      <c r="H19" s="58">
        <v>9</v>
      </c>
      <c r="I19" s="53">
        <f t="shared" si="0"/>
        <v>8.0791014464149137E-3</v>
      </c>
      <c r="J19" s="53">
        <f>SUM($I$11:I19)</f>
        <v>0.97735308762147843</v>
      </c>
      <c r="K19" s="53">
        <f t="shared" si="1"/>
        <v>2.278140988119666E-2</v>
      </c>
      <c r="L19" s="53">
        <f>SUM($K$11:K19)</f>
        <v>0.9076769634131574</v>
      </c>
      <c r="Q19" s="1"/>
      <c r="R19" s="185"/>
      <c r="S19" s="3">
        <v>9</v>
      </c>
      <c r="T19" s="4">
        <v>75</v>
      </c>
      <c r="U19" s="4">
        <v>75</v>
      </c>
      <c r="V19" s="4">
        <v>75</v>
      </c>
      <c r="W19" s="4">
        <v>0</v>
      </c>
      <c r="X19" s="4">
        <v>0</v>
      </c>
      <c r="Y19" s="4">
        <v>0</v>
      </c>
      <c r="Z19" s="4">
        <v>75</v>
      </c>
      <c r="AA19" s="4">
        <v>75</v>
      </c>
      <c r="AB19" s="4">
        <v>75</v>
      </c>
      <c r="AC19" s="4">
        <v>75</v>
      </c>
      <c r="AD19" s="4">
        <v>75</v>
      </c>
      <c r="AE19" s="4">
        <v>75</v>
      </c>
      <c r="AF19" s="4">
        <v>75</v>
      </c>
      <c r="AG19" s="4">
        <v>0</v>
      </c>
      <c r="AH19" s="4">
        <v>75</v>
      </c>
      <c r="AI19" s="4">
        <v>75</v>
      </c>
      <c r="AJ19" s="4">
        <v>75</v>
      </c>
      <c r="AK19" s="4">
        <v>0</v>
      </c>
      <c r="AL19" s="4">
        <v>0</v>
      </c>
      <c r="AM19" s="4">
        <v>0</v>
      </c>
      <c r="AN19" s="4">
        <v>45</v>
      </c>
      <c r="AO19" s="4">
        <v>45</v>
      </c>
      <c r="AP19" s="4">
        <v>45</v>
      </c>
      <c r="AQ19" s="4">
        <v>45</v>
      </c>
      <c r="AR19" s="4">
        <v>45</v>
      </c>
      <c r="AS19" s="4">
        <v>45</v>
      </c>
      <c r="AT19" s="4">
        <v>45</v>
      </c>
      <c r="AU19" s="4">
        <v>75</v>
      </c>
      <c r="AV19" s="4">
        <v>37</v>
      </c>
      <c r="AW19" s="4">
        <v>37</v>
      </c>
      <c r="AX19" s="4">
        <v>75</v>
      </c>
      <c r="AY19" s="39">
        <v>75</v>
      </c>
      <c r="AZ19" s="1"/>
      <c r="BA19" s="1"/>
    </row>
    <row r="20" spans="3:53" x14ac:dyDescent="0.25">
      <c r="C20" s="49">
        <v>10</v>
      </c>
      <c r="D20" s="44" t="s">
        <v>42</v>
      </c>
      <c r="E20" s="46">
        <v>82881</v>
      </c>
      <c r="F20" s="46">
        <v>4977.6499999999996</v>
      </c>
      <c r="G20" s="46">
        <v>5363185491.2200003</v>
      </c>
      <c r="H20" s="58">
        <v>10</v>
      </c>
      <c r="I20" s="53">
        <f t="shared" si="0"/>
        <v>5.8090554006742009E-3</v>
      </c>
      <c r="J20" s="53">
        <f>SUM($I$11:I20)</f>
        <v>0.98316214302215266</v>
      </c>
      <c r="K20" s="53">
        <f t="shared" si="1"/>
        <v>1.8321071090149795E-2</v>
      </c>
      <c r="L20" s="53">
        <f>SUM($K$11:K20)</f>
        <v>0.9259980345033072</v>
      </c>
      <c r="Q20" s="1"/>
      <c r="R20" s="185"/>
      <c r="S20" s="3">
        <v>10</v>
      </c>
      <c r="T20" s="4">
        <v>75</v>
      </c>
      <c r="U20" s="4">
        <v>75</v>
      </c>
      <c r="V20" s="4">
        <v>75</v>
      </c>
      <c r="W20" s="4">
        <v>0</v>
      </c>
      <c r="X20" s="4">
        <v>0</v>
      </c>
      <c r="Y20" s="4">
        <v>0</v>
      </c>
      <c r="Z20" s="4">
        <v>75</v>
      </c>
      <c r="AA20" s="4">
        <v>75</v>
      </c>
      <c r="AB20" s="4">
        <v>75</v>
      </c>
      <c r="AC20" s="4">
        <v>75</v>
      </c>
      <c r="AD20" s="4">
        <v>75</v>
      </c>
      <c r="AE20" s="4">
        <v>75</v>
      </c>
      <c r="AF20" s="4">
        <v>75</v>
      </c>
      <c r="AG20" s="4">
        <v>0</v>
      </c>
      <c r="AH20" s="4">
        <v>75</v>
      </c>
      <c r="AI20" s="4">
        <v>75</v>
      </c>
      <c r="AJ20" s="4">
        <v>75</v>
      </c>
      <c r="AK20" s="4">
        <v>0</v>
      </c>
      <c r="AL20" s="4">
        <v>0</v>
      </c>
      <c r="AM20" s="4">
        <v>0</v>
      </c>
      <c r="AN20" s="4">
        <v>45</v>
      </c>
      <c r="AO20" s="4">
        <v>45</v>
      </c>
      <c r="AP20" s="4">
        <v>45</v>
      </c>
      <c r="AQ20" s="4">
        <v>45</v>
      </c>
      <c r="AR20" s="4">
        <v>40</v>
      </c>
      <c r="AS20" s="4">
        <v>40</v>
      </c>
      <c r="AT20" s="4">
        <v>40</v>
      </c>
      <c r="AU20" s="4">
        <v>75</v>
      </c>
      <c r="AV20" s="4">
        <v>37</v>
      </c>
      <c r="AW20" s="4">
        <v>37</v>
      </c>
      <c r="AX20" s="4">
        <v>75</v>
      </c>
      <c r="AY20" s="39">
        <v>75</v>
      </c>
      <c r="AZ20" s="1"/>
      <c r="BA20" s="1"/>
    </row>
    <row r="21" spans="3:53" ht="15.75" thickBot="1" x14ac:dyDescent="0.3">
      <c r="C21" s="49" t="s">
        <v>46</v>
      </c>
      <c r="D21" s="44" t="s">
        <v>43</v>
      </c>
      <c r="E21" s="46">
        <v>240235</v>
      </c>
      <c r="F21" s="46">
        <v>6936.42</v>
      </c>
      <c r="G21" s="46">
        <v>21662831049.599998</v>
      </c>
      <c r="H21" s="58" t="s">
        <v>46</v>
      </c>
      <c r="I21" s="53">
        <f t="shared" si="0"/>
        <v>1.6837856977847357E-2</v>
      </c>
      <c r="J21" s="53">
        <f>SUM($I$11:I21)</f>
        <v>1</v>
      </c>
      <c r="K21" s="53">
        <f t="shared" si="1"/>
        <v>7.4001965496692801E-2</v>
      </c>
      <c r="L21" s="53">
        <f>SUM($K$11:K21)</f>
        <v>1</v>
      </c>
      <c r="Q21" s="1"/>
      <c r="R21" s="186"/>
      <c r="S21" s="40" t="s">
        <v>0</v>
      </c>
      <c r="T21" s="41">
        <v>75</v>
      </c>
      <c r="U21" s="41">
        <v>75</v>
      </c>
      <c r="V21" s="41">
        <v>75</v>
      </c>
      <c r="W21" s="41">
        <v>0</v>
      </c>
      <c r="X21" s="41">
        <v>0</v>
      </c>
      <c r="Y21" s="41">
        <v>0</v>
      </c>
      <c r="Z21" s="41">
        <v>75</v>
      </c>
      <c r="AA21" s="41">
        <v>75</v>
      </c>
      <c r="AB21" s="41">
        <v>75</v>
      </c>
      <c r="AC21" s="41">
        <v>75</v>
      </c>
      <c r="AD21" s="41">
        <v>75</v>
      </c>
      <c r="AE21" s="41">
        <v>75</v>
      </c>
      <c r="AF21" s="41">
        <v>75</v>
      </c>
      <c r="AG21" s="41">
        <v>0</v>
      </c>
      <c r="AH21" s="41">
        <v>75</v>
      </c>
      <c r="AI21" s="41">
        <v>75</v>
      </c>
      <c r="AJ21" s="41">
        <v>75</v>
      </c>
      <c r="AK21" s="41">
        <v>0</v>
      </c>
      <c r="AL21" s="41">
        <v>0</v>
      </c>
      <c r="AM21" s="41">
        <v>0</v>
      </c>
      <c r="AN21" s="41">
        <v>45</v>
      </c>
      <c r="AO21" s="41">
        <v>45</v>
      </c>
      <c r="AP21" s="41">
        <v>45</v>
      </c>
      <c r="AQ21" s="41">
        <v>45</v>
      </c>
      <c r="AR21" s="41">
        <v>40</v>
      </c>
      <c r="AS21" s="41">
        <v>40</v>
      </c>
      <c r="AT21" s="41">
        <v>40</v>
      </c>
      <c r="AU21" s="41">
        <v>75</v>
      </c>
      <c r="AV21" s="41">
        <v>32</v>
      </c>
      <c r="AW21" s="41">
        <v>22</v>
      </c>
      <c r="AX21" s="41">
        <v>75</v>
      </c>
      <c r="AY21" s="42">
        <v>75</v>
      </c>
      <c r="AZ21" s="1"/>
      <c r="BA21" s="1"/>
    </row>
    <row r="22" spans="3:53" ht="15.75" thickTop="1" x14ac:dyDescent="0.25">
      <c r="C22" s="47"/>
      <c r="D22" s="45" t="s">
        <v>44</v>
      </c>
      <c r="E22" s="43">
        <v>14267552</v>
      </c>
      <c r="F22" s="43">
        <v>33033.589999999997</v>
      </c>
      <c r="G22" s="43">
        <v>292733184912.07001</v>
      </c>
      <c r="I22" s="53">
        <f t="shared" si="0"/>
        <v>1</v>
      </c>
      <c r="J22" s="52"/>
      <c r="K22" s="53">
        <f t="shared" si="1"/>
        <v>1</v>
      </c>
      <c r="L22" s="53"/>
    </row>
    <row r="23" spans="3:53" ht="15.75" thickBot="1" x14ac:dyDescent="0.3"/>
    <row r="24" spans="3:53" ht="16.5" thickTop="1" thickBot="1" x14ac:dyDescent="0.3">
      <c r="T24" s="192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9"/>
      <c r="AV24" s="195"/>
      <c r="AW24" s="196"/>
      <c r="AX24" s="9"/>
      <c r="AY24" s="9"/>
    </row>
    <row r="25" spans="3:53" ht="15.75" thickTop="1" x14ac:dyDescent="0.25">
      <c r="H25" s="183" t="s">
        <v>49</v>
      </c>
      <c r="I25" s="184"/>
      <c r="J25" s="184"/>
      <c r="K25" s="184"/>
      <c r="L25" s="184"/>
      <c r="M25" s="184"/>
      <c r="T25" s="51">
        <f>T11*$K11</f>
        <v>1.5011824145800174</v>
      </c>
      <c r="U25" s="51">
        <f t="shared" ref="U25:AJ25" si="2">U11*$K11</f>
        <v>1.5011824145800174</v>
      </c>
      <c r="V25" s="51">
        <f t="shared" si="2"/>
        <v>1.5011824145800174</v>
      </c>
      <c r="W25" s="51">
        <f t="shared" si="2"/>
        <v>1.5011824145800174</v>
      </c>
      <c r="X25" s="51">
        <f t="shared" si="2"/>
        <v>1.5011824145800174</v>
      </c>
      <c r="Y25" s="51">
        <f t="shared" si="2"/>
        <v>1.5011824145800174</v>
      </c>
      <c r="Z25" s="51">
        <f t="shared" si="2"/>
        <v>1.5011824145800174</v>
      </c>
      <c r="AA25" s="51">
        <f t="shared" si="2"/>
        <v>1.5011824145800174</v>
      </c>
      <c r="AB25" s="51">
        <f t="shared" si="2"/>
        <v>1.5011824145800174</v>
      </c>
      <c r="AC25" s="51">
        <f t="shared" si="2"/>
        <v>1.5011824145800174</v>
      </c>
      <c r="AD25" s="51">
        <f t="shared" si="2"/>
        <v>1.5011824145800174</v>
      </c>
      <c r="AE25" s="51">
        <f t="shared" si="2"/>
        <v>1.5011824145800174</v>
      </c>
      <c r="AF25" s="51">
        <f t="shared" si="2"/>
        <v>1.5011824145800174</v>
      </c>
      <c r="AG25" s="51">
        <f t="shared" si="2"/>
        <v>1.5011824145800174</v>
      </c>
      <c r="AH25" s="51">
        <f t="shared" si="2"/>
        <v>1.5011824145800174</v>
      </c>
      <c r="AI25" s="51">
        <f t="shared" si="2"/>
        <v>1.5011824145800174</v>
      </c>
      <c r="AJ25" s="51">
        <f t="shared" si="2"/>
        <v>1.5011824145800174</v>
      </c>
      <c r="AK25" s="2">
        <f>AK11*$K11</f>
        <v>1.5011824145800174</v>
      </c>
      <c r="AL25" s="2">
        <f t="shared" ref="AL25:AT25" si="3">AL11*$K11</f>
        <v>1.5011824145800174</v>
      </c>
      <c r="AM25" s="2">
        <f t="shared" si="3"/>
        <v>1.5011824145800174</v>
      </c>
      <c r="AN25" s="2">
        <f t="shared" si="3"/>
        <v>1.5011824145800174</v>
      </c>
      <c r="AO25" s="2">
        <f t="shared" si="3"/>
        <v>1.5011824145800174</v>
      </c>
      <c r="AP25" s="2">
        <f t="shared" si="3"/>
        <v>1.5011824145800174</v>
      </c>
      <c r="AQ25" s="2">
        <f t="shared" si="3"/>
        <v>1.5011824145800174</v>
      </c>
      <c r="AR25" s="2">
        <f t="shared" si="3"/>
        <v>1.5011824145800174</v>
      </c>
      <c r="AS25" s="2">
        <f t="shared" si="3"/>
        <v>1.5011824145800174</v>
      </c>
      <c r="AT25" s="2">
        <f t="shared" si="3"/>
        <v>1.5011824145800174</v>
      </c>
      <c r="AU25" s="51">
        <f>AU11*$K11</f>
        <v>1.5011824145800174</v>
      </c>
      <c r="AV25" s="2">
        <f t="shared" ref="AV25:AW35" si="4">AV11*$K11</f>
        <v>1.5011824145800174</v>
      </c>
      <c r="AW25" s="2">
        <f t="shared" si="4"/>
        <v>1.5011824145800174</v>
      </c>
      <c r="AX25" s="51">
        <f>AX11*$K11</f>
        <v>1.5011824145800174</v>
      </c>
      <c r="AY25" s="51">
        <f>AY11*$K11</f>
        <v>1.5011824145800174</v>
      </c>
      <c r="AZ25" s="2">
        <v>1</v>
      </c>
    </row>
    <row r="26" spans="3:53" x14ac:dyDescent="0.25">
      <c r="T26" s="51">
        <f>(1/1.5*T11+0.5/1.5*T12)*$K12</f>
        <v>13.004368320422822</v>
      </c>
      <c r="U26" s="51">
        <f t="shared" ref="U26:AJ26" si="5">(1/1.5*U11+0.5/1.5*U12)*$K12</f>
        <v>13.004368320422822</v>
      </c>
      <c r="V26" s="51">
        <f t="shared" si="5"/>
        <v>13.004368320422822</v>
      </c>
      <c r="W26" s="51">
        <f t="shared" si="5"/>
        <v>13.004368320422822</v>
      </c>
      <c r="X26" s="51">
        <f t="shared" si="5"/>
        <v>13.004368320422822</v>
      </c>
      <c r="Y26" s="51">
        <f t="shared" si="5"/>
        <v>13.004368320422822</v>
      </c>
      <c r="Z26" s="51">
        <f t="shared" si="5"/>
        <v>13.004368320422822</v>
      </c>
      <c r="AA26" s="51">
        <f t="shared" si="5"/>
        <v>13.004368320422822</v>
      </c>
      <c r="AB26" s="51">
        <f t="shared" si="5"/>
        <v>13.004368320422822</v>
      </c>
      <c r="AC26" s="51">
        <f t="shared" si="5"/>
        <v>13.004368320422822</v>
      </c>
      <c r="AD26" s="51">
        <f t="shared" si="5"/>
        <v>13.004368320422822</v>
      </c>
      <c r="AE26" s="51">
        <f t="shared" si="5"/>
        <v>13.004368320422822</v>
      </c>
      <c r="AF26" s="51">
        <f t="shared" si="5"/>
        <v>13.004368320422822</v>
      </c>
      <c r="AG26" s="51">
        <f t="shared" si="5"/>
        <v>13.004368320422822</v>
      </c>
      <c r="AH26" s="51">
        <f t="shared" si="5"/>
        <v>13.004368320422822</v>
      </c>
      <c r="AI26" s="51">
        <f t="shared" si="5"/>
        <v>13.004368320422822</v>
      </c>
      <c r="AJ26" s="51">
        <f t="shared" si="5"/>
        <v>13.004368320422822</v>
      </c>
      <c r="AK26" s="2">
        <f t="shared" ref="AK26:AT35" si="6">AK12*$K12</f>
        <v>13.004368320422824</v>
      </c>
      <c r="AL26" s="2">
        <f t="shared" si="6"/>
        <v>13.004368320422824</v>
      </c>
      <c r="AM26" s="2">
        <f t="shared" si="6"/>
        <v>13.004368320422824</v>
      </c>
      <c r="AN26" s="2">
        <f t="shared" si="6"/>
        <v>13.004368320422824</v>
      </c>
      <c r="AO26" s="2">
        <f t="shared" si="6"/>
        <v>13.004368320422824</v>
      </c>
      <c r="AP26" s="2">
        <f t="shared" si="6"/>
        <v>13.004368320422824</v>
      </c>
      <c r="AQ26" s="2">
        <f t="shared" si="6"/>
        <v>13.004368320422824</v>
      </c>
      <c r="AR26" s="2">
        <f t="shared" si="6"/>
        <v>13.004368320422824</v>
      </c>
      <c r="AS26" s="2">
        <f t="shared" si="6"/>
        <v>13.004368320422824</v>
      </c>
      <c r="AT26" s="2">
        <f t="shared" si="6"/>
        <v>13.004368320422824</v>
      </c>
      <c r="AU26" s="51">
        <f>(1/1.5*AU11+0.5/1.5*AU12)*$K12</f>
        <v>13.004368320422822</v>
      </c>
      <c r="AV26" s="2">
        <f t="shared" si="4"/>
        <v>13.004368320422824</v>
      </c>
      <c r="AW26" s="2">
        <f t="shared" si="4"/>
        <v>13.004368320422824</v>
      </c>
      <c r="AX26" s="51">
        <f>(1/1.5*AX11+0.5/1.5*AX12)*$K12</f>
        <v>13.004368320422822</v>
      </c>
      <c r="AY26" s="51">
        <f>(1/1.5*AY11+0.5/1.5*AY12)*$K12</f>
        <v>13.004368320422822</v>
      </c>
      <c r="AZ26" s="2">
        <v>2</v>
      </c>
    </row>
    <row r="27" spans="3:53" x14ac:dyDescent="0.25">
      <c r="T27" s="51">
        <f>(1/2.5*T11+1/2.5*T12+0.5/2.5*T13)*$K13</f>
        <v>19.984905364249745</v>
      </c>
      <c r="U27" s="51">
        <f t="shared" ref="U27:AJ27" si="7">(1/2.5*U11+1/2.5*U12+0.5/2.5*U13)*$K13</f>
        <v>19.984905364249745</v>
      </c>
      <c r="V27" s="51">
        <f t="shared" si="7"/>
        <v>19.984905364249745</v>
      </c>
      <c r="W27" s="51">
        <f t="shared" si="7"/>
        <v>19.984905364249745</v>
      </c>
      <c r="X27" s="51">
        <f t="shared" si="7"/>
        <v>19.984905364249745</v>
      </c>
      <c r="Y27" s="51">
        <f t="shared" si="7"/>
        <v>19.984905364249745</v>
      </c>
      <c r="Z27" s="51">
        <f t="shared" si="7"/>
        <v>20.392760575765045</v>
      </c>
      <c r="AA27" s="51">
        <f t="shared" si="7"/>
        <v>20.392760575765045</v>
      </c>
      <c r="AB27" s="51">
        <f t="shared" si="7"/>
        <v>20.392760575765045</v>
      </c>
      <c r="AC27" s="51">
        <f t="shared" si="7"/>
        <v>20.392760575765045</v>
      </c>
      <c r="AD27" s="51">
        <f t="shared" si="7"/>
        <v>20.392760575765045</v>
      </c>
      <c r="AE27" s="51">
        <f t="shared" si="7"/>
        <v>20.392760575765045</v>
      </c>
      <c r="AF27" s="51">
        <f t="shared" si="7"/>
        <v>20.392760575765045</v>
      </c>
      <c r="AG27" s="51">
        <f t="shared" si="7"/>
        <v>20.392760575765045</v>
      </c>
      <c r="AH27" s="51">
        <f t="shared" si="7"/>
        <v>20.392760575765045</v>
      </c>
      <c r="AI27" s="51">
        <f t="shared" si="7"/>
        <v>20.392760575765045</v>
      </c>
      <c r="AJ27" s="51">
        <f t="shared" si="7"/>
        <v>20.392760575765045</v>
      </c>
      <c r="AK27" s="2">
        <f t="shared" si="6"/>
        <v>20.392760575765045</v>
      </c>
      <c r="AL27" s="2">
        <f t="shared" si="6"/>
        <v>20.392760575765045</v>
      </c>
      <c r="AM27" s="2">
        <f t="shared" si="6"/>
        <v>20.392760575765045</v>
      </c>
      <c r="AN27" s="2">
        <f t="shared" si="6"/>
        <v>20.392760575765045</v>
      </c>
      <c r="AO27" s="2">
        <f t="shared" si="6"/>
        <v>20.392760575765045</v>
      </c>
      <c r="AP27" s="2">
        <f t="shared" si="6"/>
        <v>20.392760575765045</v>
      </c>
      <c r="AQ27" s="2">
        <f t="shared" si="6"/>
        <v>20.392760575765045</v>
      </c>
      <c r="AR27" s="2">
        <f t="shared" si="6"/>
        <v>20.392760575765045</v>
      </c>
      <c r="AS27" s="2">
        <f t="shared" si="6"/>
        <v>20.392760575765045</v>
      </c>
      <c r="AT27" s="2">
        <f t="shared" si="6"/>
        <v>20.392760575765045</v>
      </c>
      <c r="AU27" s="51">
        <f>(1/2.5*AU11+1/2.5*AU12+0.5/2.5*AU13)*$K13</f>
        <v>20.392760575765045</v>
      </c>
      <c r="AV27" s="2">
        <f t="shared" si="4"/>
        <v>20.392760575765045</v>
      </c>
      <c r="AW27" s="2">
        <f t="shared" si="4"/>
        <v>20.392760575765045</v>
      </c>
      <c r="AX27" s="51">
        <f>(1/2.5*AX11+1/2.5*AX12+0.5/2.5*AX13)*$K13</f>
        <v>20.392760575765045</v>
      </c>
      <c r="AY27" s="51">
        <f>(1/2.5*AY11+1/2.5*AY12+0.5/2.5*AY13)*$K13</f>
        <v>20.392760575765045</v>
      </c>
      <c r="AZ27" s="2">
        <v>3</v>
      </c>
    </row>
    <row r="28" spans="3:53" x14ac:dyDescent="0.25">
      <c r="T28" s="51">
        <f>(1/3.5*T11+1/3.5*T12+1/3.5*T13+0.5/3.5*T14)*$K14</f>
        <v>18.249493716112891</v>
      </c>
      <c r="U28" s="51">
        <f t="shared" ref="U28:AJ28" si="8">(1/3.5*U11+1/3.5*U12+1/3.5*U13+0.5/3.5*U14)*$K14</f>
        <v>18.249493716112891</v>
      </c>
      <c r="V28" s="51">
        <f t="shared" si="8"/>
        <v>18.249493716112891</v>
      </c>
      <c r="W28" s="51">
        <f t="shared" si="8"/>
        <v>18.249493716112891</v>
      </c>
      <c r="X28" s="51">
        <f t="shared" si="8"/>
        <v>18.249493716112891</v>
      </c>
      <c r="Y28" s="51">
        <f t="shared" si="8"/>
        <v>18.249493716112891</v>
      </c>
      <c r="Z28" s="51">
        <f t="shared" si="8"/>
        <v>19.224657502470073</v>
      </c>
      <c r="AA28" s="51">
        <f t="shared" si="8"/>
        <v>19.224657502470073</v>
      </c>
      <c r="AB28" s="51">
        <f t="shared" si="8"/>
        <v>19.224657502470073</v>
      </c>
      <c r="AC28" s="51">
        <f t="shared" si="8"/>
        <v>19.224657502470073</v>
      </c>
      <c r="AD28" s="51">
        <f t="shared" si="8"/>
        <v>19.224657502470073</v>
      </c>
      <c r="AE28" s="51">
        <f t="shared" si="8"/>
        <v>19.224657502470073</v>
      </c>
      <c r="AF28" s="51">
        <f t="shared" si="8"/>
        <v>19.224657502470073</v>
      </c>
      <c r="AG28" s="51">
        <f t="shared" si="8"/>
        <v>19.503275727143553</v>
      </c>
      <c r="AH28" s="51">
        <f t="shared" si="8"/>
        <v>19.503275727143553</v>
      </c>
      <c r="AI28" s="51">
        <f t="shared" si="8"/>
        <v>19.503275727143553</v>
      </c>
      <c r="AJ28" s="51">
        <f t="shared" si="8"/>
        <v>19.224657502470073</v>
      </c>
      <c r="AK28" s="2">
        <f t="shared" si="6"/>
        <v>7.8013102908574208</v>
      </c>
      <c r="AL28" s="2">
        <f t="shared" si="6"/>
        <v>7.8013102908574208</v>
      </c>
      <c r="AM28" s="2">
        <f t="shared" si="6"/>
        <v>18.528111940786374</v>
      </c>
      <c r="AN28" s="2">
        <f t="shared" si="6"/>
        <v>18.528111940786374</v>
      </c>
      <c r="AO28" s="2">
        <f t="shared" si="6"/>
        <v>18.528111940786374</v>
      </c>
      <c r="AP28" s="2">
        <f t="shared" si="6"/>
        <v>18.528111940786374</v>
      </c>
      <c r="AQ28" s="2">
        <f t="shared" si="6"/>
        <v>18.528111940786374</v>
      </c>
      <c r="AR28" s="2">
        <f t="shared" si="6"/>
        <v>18.918177455329246</v>
      </c>
      <c r="AS28" s="2">
        <f t="shared" si="6"/>
        <v>19.503275727143553</v>
      </c>
      <c r="AT28" s="2">
        <f t="shared" si="6"/>
        <v>19.503275727143553</v>
      </c>
      <c r="AU28" s="51">
        <f>(1/3.5*AU11+1/3.5*AU12+1/3.5*AU13+0.5/3.5*AU14)*$K14</f>
        <v>19.503275727143553</v>
      </c>
      <c r="AV28" s="2">
        <f t="shared" si="4"/>
        <v>19.503275727143553</v>
      </c>
      <c r="AW28" s="2">
        <f t="shared" si="4"/>
        <v>19.503275727143553</v>
      </c>
      <c r="AX28" s="51">
        <f>(1/3.5*AX11+1/3.5*AX12+1/3.5*AX13+0.5/3.5*AX14)*$K14</f>
        <v>19.503275727143553</v>
      </c>
      <c r="AY28" s="51">
        <f>(1/3.5*AY11+1/3.5*AY12+1/3.5*AY13+0.5/3.5*AY14)*$K14</f>
        <v>19.503275727143553</v>
      </c>
      <c r="AZ28" s="2">
        <v>4</v>
      </c>
    </row>
    <row r="29" spans="3:53" x14ac:dyDescent="0.25">
      <c r="T29" s="51">
        <f>(1/4.5*T11+1/4.5*T12+1/4.5*T13+1/4.5*T14+0.5/4.5*T15)*$K15</f>
        <v>14.23940070190487</v>
      </c>
      <c r="U29" s="51">
        <f t="shared" ref="U29:AJ29" si="9">(1/4.5*U11+1/4.5*U12+1/4.5*U13+1/4.5*U14+0.5/4.5*U15)*$K15</f>
        <v>14.23940070190487</v>
      </c>
      <c r="V29" s="51">
        <f t="shared" si="9"/>
        <v>14.23940070190487</v>
      </c>
      <c r="W29" s="51">
        <f t="shared" si="9"/>
        <v>14.23940070190487</v>
      </c>
      <c r="X29" s="51">
        <f t="shared" si="9"/>
        <v>14.23940070190487</v>
      </c>
      <c r="Y29" s="51">
        <f t="shared" si="9"/>
        <v>14.23940070190487</v>
      </c>
      <c r="Z29" s="51">
        <f t="shared" si="9"/>
        <v>15.389165975971721</v>
      </c>
      <c r="AA29" s="51">
        <f t="shared" si="9"/>
        <v>15.389165975971721</v>
      </c>
      <c r="AB29" s="51">
        <f t="shared" si="9"/>
        <v>15.389165975971721</v>
      </c>
      <c r="AC29" s="51">
        <f t="shared" si="9"/>
        <v>15.389165975971721</v>
      </c>
      <c r="AD29" s="51">
        <f t="shared" si="9"/>
        <v>15.389165975971721</v>
      </c>
      <c r="AE29" s="51">
        <f t="shared" si="9"/>
        <v>15.389165975971721</v>
      </c>
      <c r="AF29" s="51">
        <f t="shared" si="9"/>
        <v>15.389165975971721</v>
      </c>
      <c r="AG29" s="51">
        <f t="shared" si="9"/>
        <v>15.919826871694887</v>
      </c>
      <c r="AH29" s="51">
        <f t="shared" si="9"/>
        <v>15.919826871694887</v>
      </c>
      <c r="AI29" s="51">
        <f t="shared" si="9"/>
        <v>15.919826871694887</v>
      </c>
      <c r="AJ29" s="51">
        <f t="shared" si="9"/>
        <v>15.389165975971721</v>
      </c>
      <c r="AK29" s="2">
        <f t="shared" si="6"/>
        <v>3.1839653743389773</v>
      </c>
      <c r="AL29" s="2">
        <f t="shared" si="6"/>
        <v>3.1839653743389773</v>
      </c>
      <c r="AM29" s="2">
        <f t="shared" si="6"/>
        <v>11.939870153771166</v>
      </c>
      <c r="AN29" s="2">
        <f t="shared" si="6"/>
        <v>11.939870153771166</v>
      </c>
      <c r="AO29" s="2">
        <f t="shared" si="6"/>
        <v>11.939870153771166</v>
      </c>
      <c r="AP29" s="2">
        <f t="shared" si="6"/>
        <v>11.939870153771166</v>
      </c>
      <c r="AQ29" s="2">
        <f t="shared" si="6"/>
        <v>11.939870153771166</v>
      </c>
      <c r="AR29" s="2">
        <f t="shared" si="6"/>
        <v>12.258266691205062</v>
      </c>
      <c r="AS29" s="2">
        <f t="shared" si="6"/>
        <v>12.258266691205062</v>
      </c>
      <c r="AT29" s="2">
        <f t="shared" si="6"/>
        <v>12.258266691205062</v>
      </c>
      <c r="AU29" s="51">
        <f>(1/4.5*AU11+1/4.5*AU12+1/4.5*AU13+1/4.5*AU14+0.5/4.5*AU15)*$K15</f>
        <v>15.742939906453831</v>
      </c>
      <c r="AV29" s="2">
        <f t="shared" si="4"/>
        <v>13.531852840940653</v>
      </c>
      <c r="AW29" s="2">
        <f t="shared" si="4"/>
        <v>13.531852840940653</v>
      </c>
      <c r="AX29" s="51">
        <f>(1/4.5*AX11+1/4.5*AX12+1/4.5*AX13+1/4.5*AX14+0.5/4.5*AX15)*$K15</f>
        <v>15.742939906453831</v>
      </c>
      <c r="AY29" s="51">
        <f>(1/4.5*AY11+1/4.5*AY12+1/4.5*AY13+1/4.5*AY14+0.5/4.5*AY15)*$K15</f>
        <v>15.742939906453831</v>
      </c>
      <c r="AZ29" s="2">
        <v>5</v>
      </c>
    </row>
    <row r="30" spans="3:53" x14ac:dyDescent="0.25">
      <c r="T30" s="51">
        <f>(1/5.5*T11+1/5.5*T12+1/5.5*T13+1/5.5*T14+1/5.5*T15+0.5/5.5*T16)*$K16</f>
        <v>8.0969683926943681</v>
      </c>
      <c r="U30" s="51">
        <f t="shared" ref="U30:AJ30" si="10">(1/5.5*U11+1/5.5*U12+1/5.5*U13+1/5.5*U14+1/5.5*U15+0.5/5.5*U16)*$K16</f>
        <v>8.0969683926943681</v>
      </c>
      <c r="V30" s="51">
        <f t="shared" si="10"/>
        <v>8.0969683926943681</v>
      </c>
      <c r="W30" s="51">
        <f t="shared" si="10"/>
        <v>7.4610808225874807</v>
      </c>
      <c r="X30" s="51">
        <f t="shared" si="10"/>
        <v>7.7154358506302358</v>
      </c>
      <c r="Y30" s="51">
        <f t="shared" si="10"/>
        <v>7.7154358506302358</v>
      </c>
      <c r="Z30" s="51">
        <f t="shared" si="10"/>
        <v>8.7752484674750448</v>
      </c>
      <c r="AA30" s="51">
        <f t="shared" si="10"/>
        <v>8.7752484674750448</v>
      </c>
      <c r="AB30" s="51">
        <f t="shared" si="10"/>
        <v>8.7752484674750448</v>
      </c>
      <c r="AC30" s="51">
        <f t="shared" si="10"/>
        <v>8.7752484674750448</v>
      </c>
      <c r="AD30" s="51">
        <f t="shared" si="10"/>
        <v>8.7752484674750448</v>
      </c>
      <c r="AE30" s="51">
        <f t="shared" si="10"/>
        <v>8.7752484674750448</v>
      </c>
      <c r="AF30" s="51">
        <f t="shared" si="10"/>
        <v>8.7752484674750448</v>
      </c>
      <c r="AG30" s="51">
        <f t="shared" si="10"/>
        <v>9.1143885048653868</v>
      </c>
      <c r="AH30" s="51">
        <f t="shared" si="10"/>
        <v>9.1143885048653868</v>
      </c>
      <c r="AI30" s="51">
        <f t="shared" si="10"/>
        <v>9.1143885048653868</v>
      </c>
      <c r="AJ30" s="51">
        <f t="shared" si="10"/>
        <v>8.7752484674750448</v>
      </c>
      <c r="AK30" s="2">
        <f t="shared" si="6"/>
        <v>0.93263510282343487</v>
      </c>
      <c r="AL30" s="2">
        <f t="shared" si="6"/>
        <v>0.93263510282343487</v>
      </c>
      <c r="AM30" s="2">
        <f t="shared" si="6"/>
        <v>4.6631755141171745</v>
      </c>
      <c r="AN30" s="2">
        <f t="shared" si="6"/>
        <v>4.6631755141171745</v>
      </c>
      <c r="AO30" s="2">
        <f t="shared" si="6"/>
        <v>4.6631755141171745</v>
      </c>
      <c r="AP30" s="2">
        <f t="shared" si="6"/>
        <v>4.6631755141171745</v>
      </c>
      <c r="AQ30" s="2">
        <f t="shared" si="6"/>
        <v>4.6631755141171745</v>
      </c>
      <c r="AR30" s="2">
        <f t="shared" si="6"/>
        <v>4.8497025346818612</v>
      </c>
      <c r="AS30" s="2">
        <f t="shared" si="6"/>
        <v>4.8497025346818612</v>
      </c>
      <c r="AT30" s="2">
        <f t="shared" si="6"/>
        <v>4.8497025346818612</v>
      </c>
      <c r="AU30" s="51">
        <f>(1/5.5*AU11+1/5.5*AU12+1/5.5*AU13+1/5.5*AU14+1/5.5*AU15+0.5/5.5*AU16)*$K16</f>
        <v>8.9448184861702167</v>
      </c>
      <c r="AV30" s="2">
        <f t="shared" si="4"/>
        <v>4.942966044964205</v>
      </c>
      <c r="AW30" s="2">
        <f t="shared" si="4"/>
        <v>4.942966044964205</v>
      </c>
      <c r="AX30" s="51">
        <f>(1/5.5*AX11+1/5.5*AX12+1/5.5*AX13+1/5.5*AX14+1/5.5*AX15+0.5/5.5*AX16)*$K16</f>
        <v>8.9448184861702167</v>
      </c>
      <c r="AY30" s="51">
        <f>(1/5.5*AY11+1/5.5*AY12+1/5.5*AY13+1/5.5*AY14+1/5.5*AY15+0.5/5.5*AY16)*$K16</f>
        <v>8.9448184861702167</v>
      </c>
      <c r="AZ30" s="2">
        <v>6</v>
      </c>
    </row>
    <row r="31" spans="3:53" x14ac:dyDescent="0.25">
      <c r="T31" s="51">
        <f>(1/6.5*T11+1/6.5*T12+1/6.5*T13+1/6.5*T14+1/6.5*T15+1/6.5*T16+0.5/6.5*T17)*$K17</f>
        <v>4.686716359359643</v>
      </c>
      <c r="U31" s="51">
        <f t="shared" ref="U31:AJ31" si="11">(1/6.5*U11+1/6.5*U12+1/6.5*U13+1/6.5*U14+1/6.5*U15+1/6.5*U16+0.5/6.5*U17)*$K17</f>
        <v>4.686716359359643</v>
      </c>
      <c r="V31" s="51">
        <f t="shared" si="11"/>
        <v>4.686716359359643</v>
      </c>
      <c r="W31" s="51">
        <f t="shared" si="11"/>
        <v>3.7324075984040594</v>
      </c>
      <c r="X31" s="51">
        <f t="shared" si="11"/>
        <v>4.1141311027862928</v>
      </c>
      <c r="Y31" s="51">
        <f t="shared" si="11"/>
        <v>4.1141311027862928</v>
      </c>
      <c r="Z31" s="51">
        <f t="shared" si="11"/>
        <v>5.0260261410327391</v>
      </c>
      <c r="AA31" s="51">
        <f t="shared" si="11"/>
        <v>5.0260261410327391</v>
      </c>
      <c r="AB31" s="51">
        <f t="shared" si="11"/>
        <v>5.0260261410327391</v>
      </c>
      <c r="AC31" s="51">
        <f t="shared" si="11"/>
        <v>5.0260261410327391</v>
      </c>
      <c r="AD31" s="51">
        <f t="shared" si="11"/>
        <v>5.0260261410327391</v>
      </c>
      <c r="AE31" s="51">
        <f t="shared" si="11"/>
        <v>5.0260261410327391</v>
      </c>
      <c r="AF31" s="51">
        <f t="shared" si="11"/>
        <v>5.0260261410327391</v>
      </c>
      <c r="AG31" s="51">
        <f t="shared" si="11"/>
        <v>5.1956810318692872</v>
      </c>
      <c r="AH31" s="51">
        <f t="shared" si="11"/>
        <v>5.1956810318692872</v>
      </c>
      <c r="AI31" s="51">
        <f t="shared" si="11"/>
        <v>5.1956810318692872</v>
      </c>
      <c r="AJ31" s="51">
        <f t="shared" si="11"/>
        <v>5.0260261410327391</v>
      </c>
      <c r="AK31" s="2">
        <f t="shared" si="6"/>
        <v>0</v>
      </c>
      <c r="AL31" s="2">
        <f t="shared" si="6"/>
        <v>0</v>
      </c>
      <c r="AM31" s="2">
        <f t="shared" si="6"/>
        <v>2.2055135808751261</v>
      </c>
      <c r="AN31" s="2">
        <f t="shared" si="6"/>
        <v>2.481202778484517</v>
      </c>
      <c r="AO31" s="2">
        <f t="shared" si="6"/>
        <v>2.481202778484517</v>
      </c>
      <c r="AP31" s="2">
        <f t="shared" si="6"/>
        <v>2.481202778484517</v>
      </c>
      <c r="AQ31" s="2">
        <f t="shared" si="6"/>
        <v>2.481202778484517</v>
      </c>
      <c r="AR31" s="2">
        <f t="shared" si="6"/>
        <v>2.591478457528273</v>
      </c>
      <c r="AS31" s="2">
        <f t="shared" si="6"/>
        <v>2.591478457528273</v>
      </c>
      <c r="AT31" s="2">
        <f t="shared" si="6"/>
        <v>2.591478457528273</v>
      </c>
      <c r="AU31" s="51">
        <f>(1/6.5*AU11+1/6.5*AU12+1/6.5*AU13+1/6.5*AU14+1/6.5*AU15+1/6.5*AU16+0.5/6.5*AU17)*$K17</f>
        <v>5.1108535864510136</v>
      </c>
      <c r="AV31" s="2">
        <f t="shared" si="4"/>
        <v>2.591478457528273</v>
      </c>
      <c r="AW31" s="2">
        <f t="shared" si="4"/>
        <v>2.591478457528273</v>
      </c>
      <c r="AX31" s="51">
        <f>(1/6.5*AX11+1/6.5*AX12+1/6.5*AX13+1/6.5*AX14+1/6.5*AX15+1/6.5*AX16+0.5/6.5*AX17)*$K17</f>
        <v>5.1108535864510136</v>
      </c>
      <c r="AY31" s="51">
        <f>(1/6.5*AY11+1/6.5*AY12+1/6.5*AY13+1/6.5*AY14+1/6.5*AY15+1/6.5*AY16+0.5/6.5*AY17)*$K17</f>
        <v>5.1108535864510136</v>
      </c>
      <c r="AZ31" s="2">
        <v>7</v>
      </c>
    </row>
    <row r="32" spans="3:53" x14ac:dyDescent="0.25">
      <c r="T32" s="51">
        <f>(1/7.5*T11+1/7.5*T12+1/7.5*T13+1/7.5*T14+1/7.5*T15+1/7.5*T16+1/7.5*T17+0.5/7.5*T18)*$K18</f>
        <v>2.784432074183544</v>
      </c>
      <c r="U32" s="51">
        <f t="shared" ref="U32:AJ32" si="12">(1/7.5*U11+1/7.5*U12+1/7.5*U13+1/7.5*U14+1/7.5*U15+1/7.5*U16+1/7.5*U17+0.5/7.5*U18)*$K18</f>
        <v>2.784432074183544</v>
      </c>
      <c r="V32" s="51">
        <f t="shared" si="12"/>
        <v>2.784432074183544</v>
      </c>
      <c r="W32" s="51">
        <f t="shared" si="12"/>
        <v>1.9524304583916483</v>
      </c>
      <c r="X32" s="51">
        <f t="shared" si="12"/>
        <v>2.2852311047084064</v>
      </c>
      <c r="Y32" s="51">
        <f t="shared" si="12"/>
        <v>2.2852311047084064</v>
      </c>
      <c r="Z32" s="51">
        <f t="shared" si="12"/>
        <v>2.9619257522191482</v>
      </c>
      <c r="AA32" s="51">
        <f t="shared" si="12"/>
        <v>2.9619257522191482</v>
      </c>
      <c r="AB32" s="51">
        <f t="shared" si="12"/>
        <v>2.9619257522191482</v>
      </c>
      <c r="AC32" s="51">
        <f t="shared" si="12"/>
        <v>2.9619257522191482</v>
      </c>
      <c r="AD32" s="51">
        <f t="shared" si="12"/>
        <v>2.9619257522191482</v>
      </c>
      <c r="AE32" s="51">
        <f t="shared" si="12"/>
        <v>2.9619257522191482</v>
      </c>
      <c r="AF32" s="51">
        <f t="shared" si="12"/>
        <v>2.9619257522191482</v>
      </c>
      <c r="AG32" s="51">
        <f t="shared" si="12"/>
        <v>3.0506725912369506</v>
      </c>
      <c r="AH32" s="51">
        <f t="shared" si="12"/>
        <v>3.0506725912369506</v>
      </c>
      <c r="AI32" s="51">
        <f t="shared" si="12"/>
        <v>3.0506725912369506</v>
      </c>
      <c r="AJ32" s="51">
        <f t="shared" si="12"/>
        <v>2.9619257522191482</v>
      </c>
      <c r="AK32" s="2">
        <f t="shared" si="6"/>
        <v>0</v>
      </c>
      <c r="AL32" s="2">
        <f t="shared" si="6"/>
        <v>0</v>
      </c>
      <c r="AM32" s="2">
        <f t="shared" si="6"/>
        <v>0</v>
      </c>
      <c r="AN32" s="2">
        <f t="shared" si="6"/>
        <v>1.4976029084254119</v>
      </c>
      <c r="AO32" s="2">
        <f t="shared" si="6"/>
        <v>1.4976029084254119</v>
      </c>
      <c r="AP32" s="2">
        <f t="shared" si="6"/>
        <v>1.4976029084254119</v>
      </c>
      <c r="AQ32" s="2">
        <f t="shared" si="6"/>
        <v>1.4976029084254119</v>
      </c>
      <c r="AR32" s="2">
        <f t="shared" si="6"/>
        <v>1.5641630376887636</v>
      </c>
      <c r="AS32" s="2">
        <f t="shared" si="6"/>
        <v>1.5641630376887636</v>
      </c>
      <c r="AT32" s="2">
        <f t="shared" si="6"/>
        <v>1.5641630376887636</v>
      </c>
      <c r="AU32" s="51">
        <f>(1/7.5*AU11+1/7.5*AU12+1/7.5*AU13+1/7.5*AU14+1/7.5*AU15+1/7.5*AU16+1/7.5*AU17+0.5/7.5*AU18)*$K18</f>
        <v>3.0062991717280494</v>
      </c>
      <c r="AV32" s="2">
        <f t="shared" si="4"/>
        <v>1.5641630376887636</v>
      </c>
      <c r="AW32" s="2">
        <f t="shared" si="4"/>
        <v>1.5641630376887636</v>
      </c>
      <c r="AX32" s="51">
        <f>(1/7.5*AX11+1/7.5*AX12+1/7.5*AX13+1/7.5*AX14+1/7.5*AX15+1/7.5*AX16+1/7.5*AX17+0.5/7.5*AX18)*$K18</f>
        <v>3.0062991717280494</v>
      </c>
      <c r="AY32" s="51">
        <f>(1/7.5*AY11+1/7.5*AY12+1/7.5*AY13+1/7.5*AY14+1/7.5*AY15+1/7.5*AY16+1/7.5*AY17+0.5/7.5*AY18)*$K18</f>
        <v>3.0062991717280494</v>
      </c>
      <c r="AZ32" s="2">
        <v>8</v>
      </c>
    </row>
    <row r="33" spans="8:52" x14ac:dyDescent="0.25">
      <c r="T33" s="51">
        <f>(1/8.5*T11+1/8.5*T12+1/8.5*T13+1/8.5*T14+1/8.5*T15+1/8.5*T16+1/8.5*T17+1/8.5*T18+0.5/8.5*T19)*$K19</f>
        <v>1.8828165225341946</v>
      </c>
      <c r="U33" s="51">
        <f t="shared" ref="U33:AJ33" si="13">(1/8.5*U11+1/8.5*U12+1/8.5*U13+1/8.5*U14+1/8.5*U15+1/8.5*U16+1/8.5*U17+1/8.5*U18+0.5/8.5*U19)*$K19</f>
        <v>1.8828165225341946</v>
      </c>
      <c r="V33" s="51">
        <f t="shared" si="13"/>
        <v>1.8828165225341946</v>
      </c>
      <c r="W33" s="51">
        <f t="shared" si="13"/>
        <v>1.1792729820854742</v>
      </c>
      <c r="X33" s="51">
        <f t="shared" si="13"/>
        <v>1.4204879102393213</v>
      </c>
      <c r="Y33" s="51">
        <f t="shared" si="13"/>
        <v>1.4204879102393213</v>
      </c>
      <c r="Z33" s="51">
        <f t="shared" si="13"/>
        <v>1.9900231572692375</v>
      </c>
      <c r="AA33" s="51">
        <f t="shared" si="13"/>
        <v>1.9900231572692375</v>
      </c>
      <c r="AB33" s="51">
        <f t="shared" si="13"/>
        <v>1.9900231572692375</v>
      </c>
      <c r="AC33" s="51">
        <f t="shared" si="13"/>
        <v>1.9900231572692375</v>
      </c>
      <c r="AD33" s="51">
        <f t="shared" si="13"/>
        <v>1.9900231572692375</v>
      </c>
      <c r="AE33" s="51">
        <f t="shared" si="13"/>
        <v>1.9900231572692375</v>
      </c>
      <c r="AF33" s="51">
        <f t="shared" si="13"/>
        <v>1.9900231572692375</v>
      </c>
      <c r="AG33" s="51">
        <f t="shared" si="13"/>
        <v>1.9431202545726562</v>
      </c>
      <c r="AH33" s="51">
        <f t="shared" si="13"/>
        <v>2.0436264746367589</v>
      </c>
      <c r="AI33" s="51">
        <f t="shared" si="13"/>
        <v>2.0436264746367589</v>
      </c>
      <c r="AJ33" s="51">
        <f t="shared" si="13"/>
        <v>1.9900231572692375</v>
      </c>
      <c r="AK33" s="2">
        <f t="shared" si="6"/>
        <v>0</v>
      </c>
      <c r="AL33" s="2">
        <f t="shared" si="6"/>
        <v>0</v>
      </c>
      <c r="AM33" s="2">
        <f t="shared" si="6"/>
        <v>0</v>
      </c>
      <c r="AN33" s="2">
        <f t="shared" si="6"/>
        <v>1.0251634446538498</v>
      </c>
      <c r="AO33" s="2">
        <f t="shared" si="6"/>
        <v>1.0251634446538498</v>
      </c>
      <c r="AP33" s="2">
        <f t="shared" si="6"/>
        <v>1.0251634446538498</v>
      </c>
      <c r="AQ33" s="2">
        <f t="shared" si="6"/>
        <v>1.0251634446538498</v>
      </c>
      <c r="AR33" s="2">
        <f t="shared" si="6"/>
        <v>1.0251634446538498</v>
      </c>
      <c r="AS33" s="2">
        <f t="shared" si="6"/>
        <v>1.0251634446538498</v>
      </c>
      <c r="AT33" s="2">
        <f t="shared" si="6"/>
        <v>1.0251634446538498</v>
      </c>
      <c r="AU33" s="51">
        <f>(1/8.5*AU11+1/8.5*AU12+1/8.5*AU13+1/8.5*AU14+1/8.5*AU15+1/8.5*AU16+1/8.5*AU17+1/8.5*AU18+0.5/8.5*AU19)*$K19</f>
        <v>2.0168248159529982</v>
      </c>
      <c r="AV33" s="2">
        <f t="shared" si="4"/>
        <v>0.8429121656042764</v>
      </c>
      <c r="AW33" s="2">
        <f t="shared" si="4"/>
        <v>0.8429121656042764</v>
      </c>
      <c r="AX33" s="51">
        <f>(1/8.5*AX11+1/8.5*AX12+1/8.5*AX13+1/8.5*AX14+1/8.5*AX15+1/8.5*AX16+1/8.5*AX17+1/8.5*AX18+0.5/8.5*AX19)*$K19</f>
        <v>2.0168248159529982</v>
      </c>
      <c r="AY33" s="51">
        <f>(1/8.5*AY11+1/8.5*AY12+1/8.5*AY13+1/8.5*AY14+1/8.5*AY15+1/8.5*AY16+1/8.5*AY17+1/8.5*AY18+0.5/8.5*AY19)*$K19</f>
        <v>2.0168248159529982</v>
      </c>
      <c r="AZ33" s="2">
        <v>9</v>
      </c>
    </row>
    <row r="34" spans="8:52" x14ac:dyDescent="0.25">
      <c r="T34" s="51">
        <f>(1/9.5*T11+1/9.5*T12+1/9.5*T13+1/9.5*T14+1/9.5*T15+1/9.5*T16+1/9.5*T17+1/9.5*T18+1/9.5*T19+0.5/9.5*T20)*$K20</f>
        <v>1.499435028693838</v>
      </c>
      <c r="U34" s="51">
        <f t="shared" ref="U34:AJ34" si="14">(1/9.5*U11+1/9.5*U12+1/9.5*U13+1/9.5*U14+1/9.5*U15+1/9.5*U16+1/9.5*U17+1/9.5*U18+1/9.5*U19+0.5/9.5*U20)*$K20</f>
        <v>1.499435028693838</v>
      </c>
      <c r="V34" s="51">
        <f t="shared" si="14"/>
        <v>1.499435028693838</v>
      </c>
      <c r="W34" s="51">
        <f t="shared" si="14"/>
        <v>0.84855487154377984</v>
      </c>
      <c r="X34" s="51">
        <f t="shared" si="14"/>
        <v>1.0221229134504619</v>
      </c>
      <c r="Y34" s="51">
        <f t="shared" si="14"/>
        <v>1.0221229134504619</v>
      </c>
      <c r="Z34" s="51">
        <f t="shared" si="14"/>
        <v>1.5765763806523638</v>
      </c>
      <c r="AA34" s="51">
        <f t="shared" si="14"/>
        <v>1.5765763806523638</v>
      </c>
      <c r="AB34" s="51">
        <f t="shared" si="14"/>
        <v>1.5765763806523638</v>
      </c>
      <c r="AC34" s="51">
        <f t="shared" si="14"/>
        <v>1.5765763806523638</v>
      </c>
      <c r="AD34" s="51">
        <f t="shared" si="14"/>
        <v>1.5765763806523638</v>
      </c>
      <c r="AE34" s="51">
        <f t="shared" si="14"/>
        <v>1.5765763806523638</v>
      </c>
      <c r="AF34" s="51">
        <f t="shared" si="14"/>
        <v>1.5765763806523638</v>
      </c>
      <c r="AG34" s="51">
        <f t="shared" si="14"/>
        <v>1.3981870042482738</v>
      </c>
      <c r="AH34" s="51">
        <f t="shared" si="14"/>
        <v>1.6151470566316266</v>
      </c>
      <c r="AI34" s="51">
        <f t="shared" si="14"/>
        <v>1.6151470566316266</v>
      </c>
      <c r="AJ34" s="51">
        <f t="shared" si="14"/>
        <v>1.5765763806523638</v>
      </c>
      <c r="AK34" s="2">
        <f t="shared" si="6"/>
        <v>0</v>
      </c>
      <c r="AL34" s="2">
        <f t="shared" si="6"/>
        <v>0</v>
      </c>
      <c r="AM34" s="2">
        <f t="shared" si="6"/>
        <v>0</v>
      </c>
      <c r="AN34" s="2">
        <f t="shared" si="6"/>
        <v>0.82444819905674083</v>
      </c>
      <c r="AO34" s="2">
        <f t="shared" si="6"/>
        <v>0.82444819905674083</v>
      </c>
      <c r="AP34" s="2">
        <f t="shared" si="6"/>
        <v>0.82444819905674083</v>
      </c>
      <c r="AQ34" s="2">
        <f t="shared" si="6"/>
        <v>0.82444819905674083</v>
      </c>
      <c r="AR34" s="2">
        <f t="shared" si="6"/>
        <v>0.73284284360599183</v>
      </c>
      <c r="AS34" s="2">
        <f t="shared" si="6"/>
        <v>0.73284284360599183</v>
      </c>
      <c r="AT34" s="2">
        <f t="shared" si="6"/>
        <v>0.73284284360599183</v>
      </c>
      <c r="AU34" s="51">
        <f>(1/9.5*AU11+1/9.5*AU12+1/9.5*AU13+1/9.5*AU14+1/9.5*AU15+1/9.5*AU16+1/9.5*AU17+1/9.5*AU18+1/9.5*AU19+0.5/9.5*AU20)*$K20</f>
        <v>1.5958617186419952</v>
      </c>
      <c r="AV34" s="2">
        <f t="shared" si="4"/>
        <v>0.67787963033554244</v>
      </c>
      <c r="AW34" s="2">
        <f t="shared" si="4"/>
        <v>0.67787963033554244</v>
      </c>
      <c r="AX34" s="51">
        <f>(1/9.5*AX11+1/9.5*AX12+1/9.5*AX13+1/9.5*AX14+1/9.5*AX15+1/9.5*AX16+1/9.5*AX17+1/9.5*AX18+1/9.5*AX19+0.5/9.5*AX20)*$K20</f>
        <v>1.5958617186419952</v>
      </c>
      <c r="AY34" s="51">
        <f>(1/9.5*AY11+1/9.5*AY12+1/9.5*AY13+1/9.5*AY14+1/9.5*AY15+1/9.5*AY16+1/9.5*AY17+1/9.5*AY18+1/9.5*AY19+0.5/9.5*AY20)*$K20</f>
        <v>1.5958617186419952</v>
      </c>
      <c r="AZ34" s="2">
        <v>10</v>
      </c>
    </row>
    <row r="35" spans="8:52" x14ac:dyDescent="0.25">
      <c r="T35" s="51">
        <f>(1/10.5*T11+1/10.5*T12+1/10.5*T13+1/10.5*T14+1/10.5*T15+1/10.5*T16+1/10.5*T17+1/10.5*T18+1/10.5*T19+1/10.5*T20+0.5/10.5*T21)*$K21</f>
        <v>6.0082548177076749</v>
      </c>
      <c r="U35" s="51">
        <f t="shared" ref="U35:AJ35" si="15">(1/10.5*U11+1/10.5*U12+1/10.5*U13+1/10.5*U14+1/10.5*U15+1/10.5*U16+1/10.5*U17+1/10.5*U18+1/10.5*U19+1/10.5*U20+0.5/10.5*U21)*$K21</f>
        <v>6.0082548177076749</v>
      </c>
      <c r="V35" s="51">
        <f t="shared" si="15"/>
        <v>6.0082548177076749</v>
      </c>
      <c r="W35" s="51">
        <f t="shared" si="15"/>
        <v>3.1010347446233171</v>
      </c>
      <c r="X35" s="51">
        <f t="shared" si="15"/>
        <v>3.7353373060235402</v>
      </c>
      <c r="Y35" s="51">
        <f t="shared" si="15"/>
        <v>3.7353373060235402</v>
      </c>
      <c r="Z35" s="51">
        <f t="shared" si="15"/>
        <v>6.2901670672188859</v>
      </c>
      <c r="AA35" s="51">
        <f t="shared" si="15"/>
        <v>6.2901670672188859</v>
      </c>
      <c r="AB35" s="51">
        <f t="shared" si="15"/>
        <v>6.2901670672188859</v>
      </c>
      <c r="AC35" s="51">
        <f t="shared" si="15"/>
        <v>6.2901670672188859</v>
      </c>
      <c r="AD35" s="51">
        <f t="shared" si="15"/>
        <v>6.2901670672188859</v>
      </c>
      <c r="AE35" s="51">
        <f t="shared" si="15"/>
        <v>6.2901670672188859</v>
      </c>
      <c r="AF35" s="51">
        <f t="shared" si="15"/>
        <v>6.2901670672188859</v>
      </c>
      <c r="AG35" s="51">
        <f t="shared" si="15"/>
        <v>5.1096595223906922</v>
      </c>
      <c r="AH35" s="51">
        <f t="shared" si="15"/>
        <v>6.4311231919744918</v>
      </c>
      <c r="AI35" s="51">
        <f t="shared" si="15"/>
        <v>6.4311231919744918</v>
      </c>
      <c r="AJ35" s="51">
        <f t="shared" si="15"/>
        <v>6.2901670672188859</v>
      </c>
      <c r="AK35" s="2">
        <f t="shared" si="6"/>
        <v>0</v>
      </c>
      <c r="AL35" s="2">
        <f t="shared" si="6"/>
        <v>0</v>
      </c>
      <c r="AM35" s="2">
        <f t="shared" si="6"/>
        <v>0</v>
      </c>
      <c r="AN35" s="2">
        <f t="shared" si="6"/>
        <v>3.330088447351176</v>
      </c>
      <c r="AO35" s="2">
        <f t="shared" si="6"/>
        <v>3.330088447351176</v>
      </c>
      <c r="AP35" s="2">
        <f t="shared" si="6"/>
        <v>3.330088447351176</v>
      </c>
      <c r="AQ35" s="2">
        <f t="shared" si="6"/>
        <v>3.330088447351176</v>
      </c>
      <c r="AR35" s="2">
        <f t="shared" si="6"/>
        <v>2.960078619867712</v>
      </c>
      <c r="AS35" s="2">
        <f t="shared" si="6"/>
        <v>2.960078619867712</v>
      </c>
      <c r="AT35" s="2">
        <f t="shared" si="6"/>
        <v>2.960078619867712</v>
      </c>
      <c r="AU35" s="51">
        <f>(1/10.5*AU11+1/10.5*AU12+1/10.5*AU13+1/10.5*AU14+1/10.5*AU15+1/10.5*AU16+1/10.5*AU17+1/10.5*AU18+1/10.5*AU19+1/10.5*AU20+0.5/10.5*AU21)*$K21</f>
        <v>6.3606451295966897</v>
      </c>
      <c r="AV35" s="2">
        <f t="shared" si="4"/>
        <v>2.3680628958941696</v>
      </c>
      <c r="AW35" s="2">
        <f t="shared" si="4"/>
        <v>1.6280432409272416</v>
      </c>
      <c r="AX35" s="51">
        <f>(1/10.5*AX11+1/10.5*AX12+1/10.5*AX13+1/10.5*AX14+1/10.5*AX15+1/10.5*AX16+1/10.5*AX17+1/10.5*AX18+1/10.5*AX19+1/10.5*AX20+0.5/10.5*AX21)*$K21</f>
        <v>6.3606451295966897</v>
      </c>
      <c r="AY35" s="51">
        <f>(1/10.5*AY11+1/10.5*AY12+1/10.5*AY13+1/10.5*AY14+1/10.5*AY15+1/10.5*AY16+1/10.5*AY17+1/10.5*AY18+1/10.5*AY19+1/10.5*AY20+0.5/10.5*AY21)*$K21</f>
        <v>6.3606451295966897</v>
      </c>
      <c r="AZ35" s="58" t="s">
        <v>46</v>
      </c>
    </row>
    <row r="36" spans="8:52" x14ac:dyDescent="0.25">
      <c r="T36" s="68">
        <v>1995</v>
      </c>
      <c r="U36" s="68">
        <v>1996</v>
      </c>
      <c r="V36" s="68">
        <v>1997</v>
      </c>
      <c r="W36" s="68">
        <v>1998</v>
      </c>
      <c r="X36" s="68">
        <v>1999</v>
      </c>
      <c r="Y36" s="68">
        <v>2000</v>
      </c>
      <c r="Z36" s="68">
        <v>2001</v>
      </c>
      <c r="AA36" s="68">
        <v>2002</v>
      </c>
      <c r="AB36" s="68">
        <v>2003</v>
      </c>
      <c r="AC36" s="68">
        <v>2004</v>
      </c>
      <c r="AD36" s="68">
        <v>2005</v>
      </c>
      <c r="AE36" s="68">
        <v>2006</v>
      </c>
      <c r="AF36" s="68">
        <v>2007</v>
      </c>
      <c r="AG36" s="68">
        <v>2008</v>
      </c>
      <c r="AH36" s="68">
        <v>2009</v>
      </c>
      <c r="AI36" s="68">
        <v>2010</v>
      </c>
      <c r="AJ36" s="68">
        <v>2011</v>
      </c>
      <c r="AK36" s="68">
        <v>2012</v>
      </c>
      <c r="AL36" s="68">
        <v>2013</v>
      </c>
      <c r="AM36" s="68">
        <v>2014</v>
      </c>
      <c r="AN36" s="68">
        <v>2015</v>
      </c>
      <c r="AO36" s="68">
        <v>2016</v>
      </c>
      <c r="AP36" s="68">
        <v>2017</v>
      </c>
      <c r="AQ36" s="68">
        <v>2018</v>
      </c>
      <c r="AR36" s="68">
        <v>2019</v>
      </c>
      <c r="AS36" s="68">
        <v>2020</v>
      </c>
      <c r="AT36" s="68">
        <v>2021</v>
      </c>
      <c r="AU36" s="68">
        <v>2022</v>
      </c>
      <c r="AV36" s="68">
        <v>2023</v>
      </c>
      <c r="AW36" s="68">
        <v>2024</v>
      </c>
      <c r="AX36" s="68">
        <v>2025</v>
      </c>
      <c r="AY36" s="68" t="s">
        <v>52</v>
      </c>
    </row>
    <row r="37" spans="8:52" x14ac:dyDescent="0.25">
      <c r="S37" s="47" t="s">
        <v>51</v>
      </c>
      <c r="T37" s="64">
        <f>SUM(T25:T35)</f>
        <v>91.937973712443608</v>
      </c>
      <c r="U37" s="64">
        <f t="shared" ref="U37:AT37" si="16">SUM(U25:U35)</f>
        <v>91.937973712443608</v>
      </c>
      <c r="V37" s="64">
        <f t="shared" si="16"/>
        <v>91.937973712443608</v>
      </c>
      <c r="W37" s="64">
        <f t="shared" si="16"/>
        <v>85.254131994906118</v>
      </c>
      <c r="X37" s="64">
        <f t="shared" si="16"/>
        <v>87.272096705108581</v>
      </c>
      <c r="Y37" s="64">
        <f t="shared" si="16"/>
        <v>87.272096705108581</v>
      </c>
      <c r="Z37" s="64">
        <f t="shared" si="16"/>
        <v>96.132101755077116</v>
      </c>
      <c r="AA37" s="64">
        <f t="shared" si="16"/>
        <v>96.132101755077116</v>
      </c>
      <c r="AB37" s="64">
        <f t="shared" si="16"/>
        <v>96.132101755077116</v>
      </c>
      <c r="AC37" s="64">
        <f t="shared" si="16"/>
        <v>96.132101755077116</v>
      </c>
      <c r="AD37" s="64">
        <f t="shared" si="16"/>
        <v>96.132101755077116</v>
      </c>
      <c r="AE37" s="64">
        <f t="shared" si="16"/>
        <v>96.132101755077116</v>
      </c>
      <c r="AF37" s="64">
        <f t="shared" si="16"/>
        <v>96.132101755077116</v>
      </c>
      <c r="AG37" s="64">
        <f t="shared" si="16"/>
        <v>96.133122818789559</v>
      </c>
      <c r="AH37" s="64">
        <f t="shared" si="16"/>
        <v>97.772052760820813</v>
      </c>
      <c r="AI37" s="64">
        <f t="shared" si="16"/>
        <v>97.772052760820813</v>
      </c>
      <c r="AJ37" s="64">
        <f t="shared" si="16"/>
        <v>96.132101755077116</v>
      </c>
      <c r="AK37" s="64">
        <f t="shared" si="16"/>
        <v>46.816222078787717</v>
      </c>
      <c r="AL37" s="64">
        <f t="shared" si="16"/>
        <v>46.816222078787717</v>
      </c>
      <c r="AM37" s="64">
        <f t="shared" si="16"/>
        <v>72.234982500317713</v>
      </c>
      <c r="AN37" s="64">
        <f t="shared" si="16"/>
        <v>79.18797469741429</v>
      </c>
      <c r="AO37" s="64">
        <f t="shared" si="16"/>
        <v>79.18797469741429</v>
      </c>
      <c r="AP37" s="64">
        <f t="shared" si="16"/>
        <v>79.18797469741429</v>
      </c>
      <c r="AQ37" s="64">
        <f t="shared" si="16"/>
        <v>79.18797469741429</v>
      </c>
      <c r="AR37" s="64">
        <f t="shared" si="16"/>
        <v>79.798184395328661</v>
      </c>
      <c r="AS37" s="64">
        <f t="shared" si="16"/>
        <v>80.383282667142964</v>
      </c>
      <c r="AT37" s="64">
        <f t="shared" si="16"/>
        <v>80.383282667142964</v>
      </c>
      <c r="AU37" s="64">
        <f>SUM(AU25:AU35)</f>
        <v>97.179829852906238</v>
      </c>
      <c r="AV37" s="64">
        <f t="shared" ref="AV37:AW37" si="17">SUM(AV25:AV35)</f>
        <v>80.920902110867317</v>
      </c>
      <c r="AW37" s="64">
        <f t="shared" si="17"/>
        <v>80.180882455900388</v>
      </c>
      <c r="AX37" s="64">
        <f>SUM(AX25:AX35)</f>
        <v>97.179829852906238</v>
      </c>
      <c r="AY37" s="64">
        <f>SUM(AY25:AY35)</f>
        <v>97.179829852906238</v>
      </c>
    </row>
    <row r="38" spans="8:52" x14ac:dyDescent="0.25">
      <c r="P38" s="76" t="s">
        <v>84</v>
      </c>
      <c r="S38" s="47" t="s">
        <v>53</v>
      </c>
      <c r="T38" s="47">
        <v>5.4</v>
      </c>
      <c r="U38" s="47">
        <v>3.9</v>
      </c>
      <c r="V38" s="77">
        <v>1.7</v>
      </c>
      <c r="W38" s="77">
        <v>1.8</v>
      </c>
      <c r="X38" s="77">
        <v>1.6</v>
      </c>
      <c r="Y38" s="77">
        <v>2.6</v>
      </c>
      <c r="Z38" s="77">
        <v>2.7</v>
      </c>
      <c r="AA38" s="77">
        <v>2.4</v>
      </c>
      <c r="AB38" s="77">
        <v>2.5</v>
      </c>
      <c r="AC38" s="77">
        <v>2</v>
      </c>
      <c r="AD38" s="77">
        <v>1.7</v>
      </c>
      <c r="AE38" s="77">
        <v>2</v>
      </c>
      <c r="AF38" s="77">
        <v>1.7</v>
      </c>
      <c r="AG38" s="77">
        <v>3.2</v>
      </c>
      <c r="AH38" s="77">
        <v>0.7</v>
      </c>
      <c r="AI38" s="77">
        <v>1.6</v>
      </c>
      <c r="AJ38" s="77">
        <v>2.7</v>
      </c>
      <c r="AK38" s="77">
        <v>3</v>
      </c>
      <c r="AL38" s="77">
        <v>1.1000000000000001</v>
      </c>
      <c r="AM38" s="77">
        <v>0.2</v>
      </c>
      <c r="AN38" s="77">
        <v>-0.1</v>
      </c>
      <c r="AO38" s="77">
        <v>-0.1</v>
      </c>
      <c r="AP38" s="77">
        <v>1.1000000000000001</v>
      </c>
      <c r="AQ38" s="77">
        <v>1.1000000000000001</v>
      </c>
      <c r="AR38" s="77">
        <v>0.5</v>
      </c>
      <c r="AS38" s="77">
        <v>-0.3</v>
      </c>
      <c r="AT38" s="77">
        <v>1.9</v>
      </c>
      <c r="AU38" s="77">
        <v>8.1</v>
      </c>
      <c r="AV38" s="77">
        <v>5.4</v>
      </c>
      <c r="AW38" s="77">
        <v>0.8</v>
      </c>
      <c r="AX38" s="47"/>
      <c r="AY38" s="47"/>
    </row>
    <row r="39" spans="8:52" x14ac:dyDescent="0.25">
      <c r="S39" s="47" t="s">
        <v>78</v>
      </c>
      <c r="T39" s="72">
        <v>125427</v>
      </c>
      <c r="U39" s="72">
        <v>137810</v>
      </c>
      <c r="V39" s="72">
        <v>149393</v>
      </c>
      <c r="W39" s="72">
        <v>151433</v>
      </c>
      <c r="X39" s="72">
        <v>160511</v>
      </c>
      <c r="Y39" s="72">
        <v>164488</v>
      </c>
      <c r="Z39" s="72">
        <v>172210</v>
      </c>
      <c r="AA39" s="72">
        <v>180504</v>
      </c>
      <c r="AB39" s="72">
        <v>187772</v>
      </c>
      <c r="AC39" s="72">
        <v>195244</v>
      </c>
      <c r="AD39" s="72">
        <v>202110</v>
      </c>
      <c r="AE39" s="72">
        <v>209153</v>
      </c>
      <c r="AF39" s="72">
        <v>216876</v>
      </c>
      <c r="AG39" s="72">
        <v>225353</v>
      </c>
      <c r="AH39" s="72">
        <v>234276</v>
      </c>
      <c r="AI39" s="72">
        <v>239901</v>
      </c>
      <c r="AJ39" s="72">
        <v>246259</v>
      </c>
      <c r="AK39" s="72">
        <v>251648</v>
      </c>
      <c r="AL39" s="72">
        <v>256825</v>
      </c>
      <c r="AM39" s="72">
        <v>258517</v>
      </c>
      <c r="AN39" s="72">
        <v>260503</v>
      </c>
      <c r="AO39" s="72">
        <v>262203</v>
      </c>
      <c r="AP39" s="72">
        <v>264875</v>
      </c>
      <c r="AQ39" s="72">
        <v>269739</v>
      </c>
      <c r="AR39" s="72">
        <v>276074</v>
      </c>
      <c r="AS39" s="72">
        <v>282501</v>
      </c>
      <c r="AT39" s="72">
        <v>287243</v>
      </c>
      <c r="AU39" s="72">
        <v>297809</v>
      </c>
      <c r="AV39" s="72">
        <v>319383</v>
      </c>
      <c r="AW39" s="72">
        <v>336869</v>
      </c>
      <c r="AX39" s="47"/>
      <c r="AY39" s="47"/>
    </row>
    <row r="40" spans="8:52" x14ac:dyDescent="0.25">
      <c r="S40" s="82" t="s">
        <v>79</v>
      </c>
      <c r="T40" s="82">
        <f>T39*98.5%</f>
        <v>123545.595</v>
      </c>
      <c r="U40" s="82">
        <f t="shared" ref="U40:AW40" si="18">U39*98.5%</f>
        <v>135742.85</v>
      </c>
      <c r="V40" s="82">
        <f t="shared" si="18"/>
        <v>147152.10500000001</v>
      </c>
      <c r="W40" s="82">
        <f t="shared" si="18"/>
        <v>149161.505</v>
      </c>
      <c r="X40" s="82">
        <f t="shared" si="18"/>
        <v>158103.33499999999</v>
      </c>
      <c r="Y40" s="82">
        <f t="shared" si="18"/>
        <v>162020.68</v>
      </c>
      <c r="Z40" s="82">
        <f t="shared" si="18"/>
        <v>169626.85</v>
      </c>
      <c r="AA40" s="82">
        <f t="shared" si="18"/>
        <v>177796.44</v>
      </c>
      <c r="AB40" s="82">
        <f t="shared" si="18"/>
        <v>184955.41999999998</v>
      </c>
      <c r="AC40" s="82">
        <f t="shared" si="18"/>
        <v>192315.34</v>
      </c>
      <c r="AD40" s="82">
        <f t="shared" si="18"/>
        <v>199078.35</v>
      </c>
      <c r="AE40" s="82">
        <f t="shared" si="18"/>
        <v>206015.70499999999</v>
      </c>
      <c r="AF40" s="82">
        <f t="shared" si="18"/>
        <v>213622.86</v>
      </c>
      <c r="AG40" s="82">
        <f t="shared" si="18"/>
        <v>221972.70499999999</v>
      </c>
      <c r="AH40" s="82">
        <f t="shared" si="18"/>
        <v>230761.86</v>
      </c>
      <c r="AI40" s="82">
        <f t="shared" si="18"/>
        <v>236302.48499999999</v>
      </c>
      <c r="AJ40" s="82">
        <f t="shared" si="18"/>
        <v>242565.11499999999</v>
      </c>
      <c r="AK40" s="82">
        <f t="shared" si="18"/>
        <v>247873.28</v>
      </c>
      <c r="AL40" s="82">
        <f t="shared" si="18"/>
        <v>252972.625</v>
      </c>
      <c r="AM40" s="82">
        <f t="shared" si="18"/>
        <v>254639.245</v>
      </c>
      <c r="AN40" s="82">
        <f t="shared" si="18"/>
        <v>256595.45499999999</v>
      </c>
      <c r="AO40" s="82">
        <f t="shared" si="18"/>
        <v>258269.95499999999</v>
      </c>
      <c r="AP40" s="82">
        <f t="shared" si="18"/>
        <v>260901.875</v>
      </c>
      <c r="AQ40" s="82">
        <f t="shared" si="18"/>
        <v>265692.91499999998</v>
      </c>
      <c r="AR40" s="82">
        <f t="shared" si="18"/>
        <v>271932.89</v>
      </c>
      <c r="AS40" s="82">
        <f t="shared" si="18"/>
        <v>278263.48499999999</v>
      </c>
      <c r="AT40" s="82">
        <f t="shared" si="18"/>
        <v>282934.35499999998</v>
      </c>
      <c r="AU40" s="82">
        <f t="shared" si="18"/>
        <v>293341.86499999999</v>
      </c>
      <c r="AV40" s="82">
        <f t="shared" si="18"/>
        <v>314592.255</v>
      </c>
      <c r="AW40" s="82">
        <f t="shared" si="18"/>
        <v>331815.96499999997</v>
      </c>
      <c r="AX40" s="82"/>
      <c r="AY40" s="82"/>
    </row>
    <row r="41" spans="8:52" x14ac:dyDescent="0.25">
      <c r="P41" s="2" t="s">
        <v>83</v>
      </c>
      <c r="Q41" s="75">
        <v>4.4999999999999998E-2</v>
      </c>
      <c r="S41" s="82" t="s">
        <v>80</v>
      </c>
      <c r="T41" s="82">
        <f>(T40+(T40*(1-4.5%)))/2</f>
        <v>120765.8191125</v>
      </c>
      <c r="U41" s="82">
        <f t="shared" ref="U41:AW41" si="19">(U40+(U40*(1-4.5%)))/2</f>
        <v>132688.63587500001</v>
      </c>
      <c r="V41" s="82">
        <f t="shared" si="19"/>
        <v>143841.18263749999</v>
      </c>
      <c r="W41" s="82">
        <f t="shared" si="19"/>
        <v>145805.37113749998</v>
      </c>
      <c r="X41" s="82">
        <f t="shared" si="19"/>
        <v>154546.00996249999</v>
      </c>
      <c r="Y41" s="82">
        <f t="shared" si="19"/>
        <v>158375.21470000001</v>
      </c>
      <c r="Z41" s="82">
        <f t="shared" si="19"/>
        <v>165810.24587500002</v>
      </c>
      <c r="AA41" s="82">
        <f t="shared" si="19"/>
        <v>173796.02009999999</v>
      </c>
      <c r="AB41" s="82">
        <f t="shared" si="19"/>
        <v>180793.92304999998</v>
      </c>
      <c r="AC41" s="82">
        <f t="shared" si="19"/>
        <v>187988.24484999999</v>
      </c>
      <c r="AD41" s="82">
        <f t="shared" si="19"/>
        <v>194599.08712500002</v>
      </c>
      <c r="AE41" s="82">
        <f t="shared" si="19"/>
        <v>201380.35163749999</v>
      </c>
      <c r="AF41" s="82">
        <f t="shared" si="19"/>
        <v>208816.34564999997</v>
      </c>
      <c r="AG41" s="82">
        <f t="shared" si="19"/>
        <v>216978.31913749999</v>
      </c>
      <c r="AH41" s="82">
        <f t="shared" si="19"/>
        <v>225569.71814999997</v>
      </c>
      <c r="AI41" s="82">
        <f t="shared" si="19"/>
        <v>230985.67908749997</v>
      </c>
      <c r="AJ41" s="82">
        <f t="shared" si="19"/>
        <v>237107.3999125</v>
      </c>
      <c r="AK41" s="82">
        <f t="shared" si="19"/>
        <v>242296.1312</v>
      </c>
      <c r="AL41" s="82">
        <f t="shared" si="19"/>
        <v>247280.7409375</v>
      </c>
      <c r="AM41" s="82">
        <f t="shared" si="19"/>
        <v>248909.86198749999</v>
      </c>
      <c r="AN41" s="82">
        <f t="shared" si="19"/>
        <v>250822.05726249999</v>
      </c>
      <c r="AO41" s="82">
        <f t="shared" si="19"/>
        <v>252458.88101249997</v>
      </c>
      <c r="AP41" s="82">
        <f t="shared" si="19"/>
        <v>255031.58281250001</v>
      </c>
      <c r="AQ41" s="82">
        <f t="shared" si="19"/>
        <v>259714.82441249996</v>
      </c>
      <c r="AR41" s="82">
        <f t="shared" si="19"/>
        <v>265814.39997500001</v>
      </c>
      <c r="AS41" s="82">
        <f t="shared" si="19"/>
        <v>272002.55658749997</v>
      </c>
      <c r="AT41" s="82">
        <f t="shared" si="19"/>
        <v>276568.33201249997</v>
      </c>
      <c r="AU41" s="82">
        <f t="shared" si="19"/>
        <v>286741.6730375</v>
      </c>
      <c r="AV41" s="82">
        <f t="shared" si="19"/>
        <v>307513.92926250002</v>
      </c>
      <c r="AW41" s="82">
        <f t="shared" si="19"/>
        <v>324350.10578749992</v>
      </c>
      <c r="AX41" s="82"/>
      <c r="AY41" s="82"/>
    </row>
    <row r="44" spans="8:52" x14ac:dyDescent="0.25">
      <c r="H44" s="183" t="s">
        <v>50</v>
      </c>
      <c r="I44" s="184"/>
      <c r="J44" s="184"/>
      <c r="K44" s="184"/>
      <c r="L44" s="184"/>
      <c r="M44" s="184"/>
      <c r="T44" s="68">
        <v>1995</v>
      </c>
      <c r="U44" s="68">
        <v>1996</v>
      </c>
      <c r="V44" s="68">
        <v>1997</v>
      </c>
      <c r="W44" s="68">
        <v>1998</v>
      </c>
      <c r="X44" s="68">
        <v>1999</v>
      </c>
      <c r="Y44" s="68">
        <v>2000</v>
      </c>
      <c r="Z44" s="68">
        <v>2001</v>
      </c>
      <c r="AA44" s="68">
        <v>2002</v>
      </c>
      <c r="AB44" s="68">
        <v>2003</v>
      </c>
      <c r="AC44" s="68">
        <v>2004</v>
      </c>
      <c r="AD44" s="68">
        <v>2005</v>
      </c>
      <c r="AE44" s="68">
        <v>2006</v>
      </c>
      <c r="AF44" s="68">
        <v>2007</v>
      </c>
      <c r="AG44" s="68">
        <v>2008</v>
      </c>
      <c r="AH44" s="68">
        <v>2009</v>
      </c>
      <c r="AI44" s="68">
        <v>2010</v>
      </c>
      <c r="AJ44" s="86">
        <v>2011</v>
      </c>
      <c r="AK44" s="68">
        <v>2012</v>
      </c>
      <c r="AL44" s="68">
        <v>2013</v>
      </c>
      <c r="AM44" s="68">
        <v>2014</v>
      </c>
      <c r="AN44" s="68">
        <v>2015</v>
      </c>
      <c r="AO44" s="68">
        <v>2016</v>
      </c>
      <c r="AP44" s="68">
        <v>2017</v>
      </c>
      <c r="AQ44" s="68">
        <v>2018</v>
      </c>
      <c r="AR44" s="68">
        <v>2019</v>
      </c>
      <c r="AS44" s="68">
        <v>2020</v>
      </c>
      <c r="AT44" s="68">
        <v>2021</v>
      </c>
      <c r="AU44" s="68">
        <v>2022</v>
      </c>
      <c r="AV44" s="68">
        <v>2023</v>
      </c>
      <c r="AW44" s="68">
        <v>2024</v>
      </c>
      <c r="AX44" s="68">
        <v>2025</v>
      </c>
      <c r="AY44" s="68" t="s">
        <v>52</v>
      </c>
    </row>
    <row r="45" spans="8:52" x14ac:dyDescent="0.25">
      <c r="S45" s="83" t="s">
        <v>85</v>
      </c>
      <c r="T45" s="79" t="s">
        <v>50</v>
      </c>
      <c r="U45" s="79">
        <f>T41*T38%*U37%</f>
        <v>5995.6009395804431</v>
      </c>
      <c r="V45" s="79">
        <f t="shared" ref="V45:AU45" si="20">U41*U38%*V37%</f>
        <v>4757.6584836361435</v>
      </c>
      <c r="W45" s="79">
        <f t="shared" si="20"/>
        <v>2084.7193790497399</v>
      </c>
      <c r="X45" s="79">
        <f t="shared" si="20"/>
        <v>2290.4532810065066</v>
      </c>
      <c r="Y45" s="79">
        <f t="shared" si="20"/>
        <v>2158.0086922937558</v>
      </c>
      <c r="Z45" s="79">
        <f t="shared" si="20"/>
        <v>3958.4849863058726</v>
      </c>
      <c r="AA45" s="79">
        <f t="shared" si="20"/>
        <v>4303.7156056922622</v>
      </c>
      <c r="AB45" s="79">
        <f t="shared" si="20"/>
        <v>4009.7704053313505</v>
      </c>
      <c r="AC45" s="79">
        <f t="shared" si="20"/>
        <v>4345.0249518355449</v>
      </c>
      <c r="AD45" s="79">
        <f t="shared" si="20"/>
        <v>3614.3410165357104</v>
      </c>
      <c r="AE45" s="79">
        <f t="shared" si="20"/>
        <v>3180.2272716407556</v>
      </c>
      <c r="AF45" s="79">
        <f t="shared" si="20"/>
        <v>3871.8232910178717</v>
      </c>
      <c r="AG45" s="79">
        <f t="shared" si="20"/>
        <v>3412.608458500185</v>
      </c>
      <c r="AH45" s="79">
        <f t="shared" si="20"/>
        <v>6788.6130133330771</v>
      </c>
      <c r="AI45" s="79">
        <f t="shared" si="20"/>
        <v>1543.8090068943693</v>
      </c>
      <c r="AJ45" s="84">
        <f t="shared" si="20"/>
        <v>3552.8222089608221</v>
      </c>
      <c r="AK45" s="79">
        <f t="shared" si="20"/>
        <v>2997.1276265234337</v>
      </c>
      <c r="AL45" s="79">
        <f t="shared" si="20"/>
        <v>3403.0168461270855</v>
      </c>
      <c r="AM45" s="79">
        <f t="shared" si="20"/>
        <v>1964.8551993714502</v>
      </c>
      <c r="AN45" s="79">
        <f t="shared" si="20"/>
        <v>394.21335706006062</v>
      </c>
      <c r="AO45" s="79">
        <f t="shared" si="20"/>
        <v>-198.62090724056247</v>
      </c>
      <c r="AP45" s="79">
        <f t="shared" si="20"/>
        <v>-199.91707481755373</v>
      </c>
      <c r="AQ45" s="79">
        <f t="shared" si="20"/>
        <v>2221.4977979477549</v>
      </c>
      <c r="AR45" s="79">
        <f t="shared" si="20"/>
        <v>2279.7248593535987</v>
      </c>
      <c r="AS45" s="79">
        <f t="shared" si="20"/>
        <v>1068.3517025093713</v>
      </c>
      <c r="AT45" s="79">
        <f t="shared" si="20"/>
        <v>-655.93375177075688</v>
      </c>
      <c r="AU45" s="79">
        <f t="shared" si="20"/>
        <v>5106.6040550585976</v>
      </c>
      <c r="AV45" s="79">
        <f>AU41*AU38%*AV37%</f>
        <v>18794.749832528829</v>
      </c>
      <c r="AW45" s="79">
        <f>AV41*AV38%*AW37%</f>
        <v>13314.638636504236</v>
      </c>
      <c r="AX45" s="79">
        <f>AW41*AW38%*AX37%</f>
        <v>2521.6230474561107</v>
      </c>
      <c r="AY45" s="79"/>
    </row>
    <row r="46" spans="8:52" x14ac:dyDescent="0.25">
      <c r="S46" s="80" t="s">
        <v>86</v>
      </c>
      <c r="T46" s="81" t="s">
        <v>50</v>
      </c>
      <c r="U46" s="81">
        <f>T41*T38%*U37%</f>
        <v>5995.6009395804431</v>
      </c>
      <c r="V46" s="81">
        <f t="shared" ref="V46:AJ46" si="21">U41*U38%*V37%</f>
        <v>4757.6584836361435</v>
      </c>
      <c r="W46" s="81">
        <f t="shared" si="21"/>
        <v>2084.7193790497399</v>
      </c>
      <c r="X46" s="81">
        <f t="shared" si="21"/>
        <v>2290.4532810065066</v>
      </c>
      <c r="Y46" s="81">
        <f t="shared" si="21"/>
        <v>2158.0086922937558</v>
      </c>
      <c r="Z46" s="81">
        <f t="shared" si="21"/>
        <v>3958.4849863058726</v>
      </c>
      <c r="AA46" s="81">
        <f t="shared" si="21"/>
        <v>4303.7156056922622</v>
      </c>
      <c r="AB46" s="81">
        <f t="shared" si="21"/>
        <v>4009.7704053313505</v>
      </c>
      <c r="AC46" s="81">
        <f t="shared" si="21"/>
        <v>4345.0249518355449</v>
      </c>
      <c r="AD46" s="81">
        <f t="shared" si="21"/>
        <v>3614.3410165357104</v>
      </c>
      <c r="AE46" s="81">
        <f t="shared" si="21"/>
        <v>3180.2272716407556</v>
      </c>
      <c r="AF46" s="81">
        <f t="shared" si="21"/>
        <v>3871.8232910178717</v>
      </c>
      <c r="AG46" s="81">
        <f t="shared" si="21"/>
        <v>3412.608458500185</v>
      </c>
      <c r="AH46" s="81">
        <f t="shared" si="21"/>
        <v>6788.6130133330771</v>
      </c>
      <c r="AI46" s="81">
        <f t="shared" si="21"/>
        <v>1543.8090068943693</v>
      </c>
      <c r="AJ46" s="85">
        <f t="shared" si="21"/>
        <v>3552.8222089608221</v>
      </c>
      <c r="AK46" s="81">
        <f>(AJ41+(AJ46-AJ45)*(1-4.5%/2))*AJ38%*96.1%</f>
        <v>6152.2257055296377</v>
      </c>
      <c r="AL46" s="81">
        <f>(AK41+(AK46-AK45)*(1-4.5%/2))*AK38%*96.1%</f>
        <v>7074.3123068673485</v>
      </c>
      <c r="AM46" s="81">
        <f>(AL41+(AL46-AL45)*(1-4.5%/2)+(AK46-AK45)*(1-4.5%/2)^2)*AL38%*96.1%</f>
        <v>2683.8093304554641</v>
      </c>
      <c r="AN46" s="81">
        <f>(AM41+(AM46-AM45)*(1-4.5%/2)+(AL46-AL45)*(1-4.5%/2)^2+(AK46-AK45)*(1-4.5%/2)^3)*AM38%*96.1%</f>
        <v>492.16167779034436</v>
      </c>
      <c r="AO46" s="81">
        <f>(AN41+(AN46-AN45)*(1-4.5%/2)+(AM46-AM45)*(1-4.5%/2)^2+(AL46-AL45)*(1-4.5%/2)^3+(AK46-AK45)*(1-4.5%/2)^4)*AN38%*96.1%</f>
        <v>-247.85570361878732</v>
      </c>
      <c r="AP46" s="81">
        <f>(AO41+(AO46-AO45)*(1-4.5%/2)+(AN46-AN45)*(1-4.5%/2)^2+(AM46-AM45)*(1-4.5%/2)^3+(AL46-AL45)*(1-4.5%/2)^4+(AK46-AK45)*(1-4.5%/2)^5)*AO38%*96.1%</f>
        <v>-249.22908778433819</v>
      </c>
      <c r="AQ46" s="81">
        <f>(AP41+(AP46-AP45)*(1-4.5%/2)+(AO46-AO45)*(1-4.5%/2)^2+(AN46-AN45)*(1-4.5%/2)^3+(AM46-AM45)*(1-4.5%/2)^4+(AL46-AL45)*(1-4.5%/2)^5+(AK46-AK45)*(1-4.5%/2)^6)*AP38%*96.1%</f>
        <v>2766.5689622804498</v>
      </c>
      <c r="AR46" s="81">
        <f>(AQ41+(AQ46-AQ45)*(1-4.5%/2)+(AP46-AP45)*(1-4.5%/2)^2+(AO46-AO45)*(1-4.5%/2)^3+(AN46-AN45)*(1-4.5%/2)^4+(AM46-AM45)*(1-4.5%/2)^5+(AL46-AL45)*(1-4.5%/2)^6+(AK46-AK45)*(1-4.5%/2)^7)*AQ38%*96.1%</f>
        <v>2820.118635440138</v>
      </c>
      <c r="AS46" s="81">
        <f>(AR41+(AR46-AR45)*(1-4.5%/2)+(AQ46-AQ45)*(1-4.5%/2)^2+(AP46-AP45)*(1-4.5%/2)^3+(AO46-AO45)*(1-4.5%/2)^4+(AN46-AN45)*(1-4.5%/2)^5+(AM46-AM45)*(1-4.5%/2)^6+(AL46-AL45)*(1-4.5%/2)^7+(AK46-AK45)*(1-4.5%/2)^8)*AR38%*96.1%</f>
        <v>1312.9550329144215</v>
      </c>
      <c r="AT46" s="81">
        <f>(AS41+(AS46-AS45)*(1-4.5%/2)+(AR46-AR45)*(1-4.5%/2)^2+(AQ46-AQ45)*(1-4.5%/2)^3+(AP46-AP45)*(1-4.5%/2)^4+(AO46-AO45)*(1-4.5%/2)^5+(AN46-AN45)*(1-4.5%/2)^6+(AM46-AM45)*(1-4.5%/2)^7+(AL46-AL45)*(1-4.5%/2)^8+(AK46-AK45)*(1-4.5%/2)^9)*AS38%*96.1%</f>
        <v>-805.8206225035467</v>
      </c>
      <c r="AU46" s="81">
        <f>(AT41+(AT46-AT45)*(1-4.5%/2)+(AS46-AS45)*(1-4.5%/2)^2+(AR46-AR45)*(1-4.5%/2)^3+(AQ46-AQ45)*(1-4.5%/2)^4+(AP46-AP45)*(1-4.5%/2)^5+(AO46-AO45)*(1-4.5%/2)^6+(AN46-AN45)*(1-4.5%/2)^7+(AM46-AM45)*(1-4.5%/2)^8+(AL46-AL45)*(1-4.5%/2)^9+(AK46-AK45)*(1-4.5%/2)^10)*AT38%*96.1%</f>
        <v>5181.1385875595752</v>
      </c>
      <c r="AV46" s="81">
        <f>(AU41+(AU46-AU45)*(1-4.5%/2)+(AT46-AT45)*(1-4.5%/2)^2+(AS46-AS45)*(1-4.5%/2)^3+(AR46-AR45)*(1-4.5%/2)^4+(AQ46-AQ45)*(1-4.5%/2)^5+(AP46-AP45)*(1-4.5%/2)^6+(AO46-AO45)*(1-4.5%/2)^7+(AN46-AN45)*(1-4.5%/2)^8+(AM46-AM45)*(1-4.5%/2)^9+(AL46-AL45)*(1-4.5%/2)^10+(AK46-AK45)*(1-4.5%/2)^11)*AU38%*96.1%</f>
        <v>22872.993945419839</v>
      </c>
      <c r="AW46" s="81">
        <f>(AV41+(AV46-AV45)*(1-4.5%/2)+(AU46-AU45)*(1-4.5%/2)^2+(AT46-AT45)*(1-4.5%/2)^3+(AS46-AS45)*(1-4.5%/2)^4+(AR46-AR45)*(1-4.5%/2)^5+(AQ46-AQ45)*(1-4.5%/2)^6+(AP46-AP45)*(1-4.5%/2)^7+(AO46-AO45)*(1-4.5%/2)^8+(AN46-AN45)*(1-4.5%/2)^9+(AM46-AM45)*(1-4.5%/2)^10+(AL46-AL45)*(1-4.5%/2)^11+(AK46-AK45)*(1-4.5%/2)^12)*AV38%*96.1%</f>
        <v>16525.201645196918</v>
      </c>
      <c r="AX46" s="81">
        <f>(AW41+(AW46-AW45)*(1-4.5%/2)+(AV46-AV45)*(1-4.5%/2)^2+(AU46-AU45)*(1-4.5%/2)^3+(AT46-AT45)*(1-4.5%/2)^4+(AS46-AS45)*(1-4.5%/2)^5+(AR46-AR45)*(1-4.5%/2)^6+(AQ46-AQ45)*(1-4.5%/2)^7+(AP46-AP45)*(1-4.5%/2)^8+(AO46-AO45)*(1-4.5%/2)^9+(AN46-AN45)*(1-4.5%/2)^10+(AM46-AM45)*(1-4.5%/2)^11+(AL46-AL45)*(1-4.5%/2)^12+(AK46-AK45)*(1-4.5%/2)^13)*AW38%*96.1%</f>
        <v>2599.8517458562774</v>
      </c>
      <c r="AY46" s="81"/>
    </row>
    <row r="49" spans="19:51" x14ac:dyDescent="0.25">
      <c r="T49" s="68">
        <v>1995</v>
      </c>
      <c r="U49" s="68">
        <v>1996</v>
      </c>
      <c r="V49" s="68">
        <v>1997</v>
      </c>
      <c r="W49" s="68">
        <v>1998</v>
      </c>
      <c r="X49" s="68">
        <v>1999</v>
      </c>
      <c r="Y49" s="68">
        <v>2000</v>
      </c>
      <c r="Z49" s="68">
        <v>2001</v>
      </c>
      <c r="AA49" s="68">
        <v>2002</v>
      </c>
      <c r="AB49" s="68">
        <v>2003</v>
      </c>
      <c r="AC49" s="68">
        <v>2004</v>
      </c>
      <c r="AD49" s="68">
        <v>2005</v>
      </c>
      <c r="AE49" s="68">
        <v>2006</v>
      </c>
      <c r="AF49" s="68">
        <v>2007</v>
      </c>
      <c r="AG49" s="68">
        <v>2008</v>
      </c>
      <c r="AH49" s="68">
        <v>2009</v>
      </c>
      <c r="AI49" s="68">
        <v>2010</v>
      </c>
      <c r="AJ49" s="86">
        <v>2011</v>
      </c>
      <c r="AK49" s="68">
        <v>2012</v>
      </c>
      <c r="AL49" s="68">
        <v>2013</v>
      </c>
      <c r="AM49" s="68">
        <v>2014</v>
      </c>
      <c r="AN49" s="68">
        <v>2015</v>
      </c>
      <c r="AO49" s="68">
        <v>2016</v>
      </c>
      <c r="AP49" s="68">
        <v>2017</v>
      </c>
      <c r="AQ49" s="68">
        <v>2018</v>
      </c>
      <c r="AR49" s="68">
        <v>2019</v>
      </c>
      <c r="AS49" s="68">
        <v>2020</v>
      </c>
      <c r="AT49" s="68">
        <v>2021</v>
      </c>
      <c r="AU49" s="68">
        <v>2022</v>
      </c>
      <c r="AV49" s="68">
        <v>2023</v>
      </c>
      <c r="AW49" s="68">
        <v>2024</v>
      </c>
      <c r="AX49" s="68">
        <v>2025</v>
      </c>
      <c r="AY49" s="68" t="s">
        <v>52</v>
      </c>
    </row>
    <row r="50" spans="19:51" x14ac:dyDescent="0.25">
      <c r="S50" s="78" t="s">
        <v>85</v>
      </c>
      <c r="T50" s="47" t="s">
        <v>50</v>
      </c>
      <c r="U50" s="79">
        <f t="shared" ref="U50:AN50" si="22">U45</f>
        <v>5995.6009395804431</v>
      </c>
      <c r="V50" s="79">
        <f t="shared" si="22"/>
        <v>4757.6584836361435</v>
      </c>
      <c r="W50" s="79">
        <f t="shared" si="22"/>
        <v>2084.7193790497399</v>
      </c>
      <c r="X50" s="79">
        <f t="shared" si="22"/>
        <v>2290.4532810065066</v>
      </c>
      <c r="Y50" s="79">
        <f t="shared" si="22"/>
        <v>2158.0086922937558</v>
      </c>
      <c r="Z50" s="79">
        <f t="shared" si="22"/>
        <v>3958.4849863058726</v>
      </c>
      <c r="AA50" s="79">
        <f t="shared" si="22"/>
        <v>4303.7156056922622</v>
      </c>
      <c r="AB50" s="79">
        <f t="shared" si="22"/>
        <v>4009.7704053313505</v>
      </c>
      <c r="AC50" s="79">
        <f t="shared" si="22"/>
        <v>4345.0249518355449</v>
      </c>
      <c r="AD50" s="79">
        <f t="shared" si="22"/>
        <v>3614.3410165357104</v>
      </c>
      <c r="AE50" s="79">
        <f t="shared" si="22"/>
        <v>3180.2272716407556</v>
      </c>
      <c r="AF50" s="79">
        <f t="shared" si="22"/>
        <v>3871.8232910178717</v>
      </c>
      <c r="AG50" s="79">
        <f t="shared" si="22"/>
        <v>3412.608458500185</v>
      </c>
      <c r="AH50" s="79">
        <f t="shared" si="22"/>
        <v>6788.6130133330771</v>
      </c>
      <c r="AI50" s="79">
        <f t="shared" si="22"/>
        <v>1543.8090068943693</v>
      </c>
      <c r="AJ50" s="84">
        <f t="shared" si="22"/>
        <v>3552.8222089608221</v>
      </c>
      <c r="AK50" s="79">
        <f t="shared" si="22"/>
        <v>2997.1276265234337</v>
      </c>
      <c r="AL50" s="79">
        <f t="shared" si="22"/>
        <v>3403.0168461270855</v>
      </c>
      <c r="AM50" s="79">
        <f t="shared" si="22"/>
        <v>1964.8551993714502</v>
      </c>
      <c r="AN50" s="79">
        <f t="shared" si="22"/>
        <v>394.21335706006062</v>
      </c>
      <c r="AO50" s="79">
        <v>0</v>
      </c>
      <c r="AP50" s="79">
        <v>0</v>
      </c>
      <c r="AQ50" s="79">
        <f>AQ45+AO45+AP45</f>
        <v>1822.9598158896388</v>
      </c>
      <c r="AR50" s="79">
        <f>AR45</f>
        <v>2279.7248593535987</v>
      </c>
      <c r="AS50" s="79">
        <f>AS45</f>
        <v>1068.3517025093713</v>
      </c>
      <c r="AT50" s="79">
        <v>0</v>
      </c>
      <c r="AU50" s="79">
        <f>AU45+AT45</f>
        <v>4450.6703032878404</v>
      </c>
      <c r="AV50" s="79">
        <f>AV45</f>
        <v>18794.749832528829</v>
      </c>
      <c r="AW50" s="79">
        <f>AW45</f>
        <v>13314.638636504236</v>
      </c>
      <c r="AX50" s="79"/>
      <c r="AY50" s="79"/>
    </row>
    <row r="51" spans="19:51" x14ac:dyDescent="0.25">
      <c r="S51" s="78" t="s">
        <v>86</v>
      </c>
      <c r="T51" s="81" t="s">
        <v>50</v>
      </c>
      <c r="U51" s="81">
        <f t="shared" ref="U51:AN51" si="23">U46</f>
        <v>5995.6009395804431</v>
      </c>
      <c r="V51" s="81">
        <f t="shared" si="23"/>
        <v>4757.6584836361435</v>
      </c>
      <c r="W51" s="81">
        <f t="shared" si="23"/>
        <v>2084.7193790497399</v>
      </c>
      <c r="X51" s="81">
        <f t="shared" si="23"/>
        <v>2290.4532810065066</v>
      </c>
      <c r="Y51" s="81">
        <f t="shared" si="23"/>
        <v>2158.0086922937558</v>
      </c>
      <c r="Z51" s="81">
        <f t="shared" si="23"/>
        <v>3958.4849863058726</v>
      </c>
      <c r="AA51" s="81">
        <f t="shared" si="23"/>
        <v>4303.7156056922622</v>
      </c>
      <c r="AB51" s="81">
        <f t="shared" si="23"/>
        <v>4009.7704053313505</v>
      </c>
      <c r="AC51" s="81">
        <f t="shared" si="23"/>
        <v>4345.0249518355449</v>
      </c>
      <c r="AD51" s="81">
        <f t="shared" si="23"/>
        <v>3614.3410165357104</v>
      </c>
      <c r="AE51" s="81">
        <f t="shared" si="23"/>
        <v>3180.2272716407556</v>
      </c>
      <c r="AF51" s="81">
        <f t="shared" si="23"/>
        <v>3871.8232910178717</v>
      </c>
      <c r="AG51" s="81">
        <f t="shared" si="23"/>
        <v>3412.608458500185</v>
      </c>
      <c r="AH51" s="81">
        <f t="shared" si="23"/>
        <v>6788.6130133330771</v>
      </c>
      <c r="AI51" s="81">
        <f t="shared" si="23"/>
        <v>1543.8090068943693</v>
      </c>
      <c r="AJ51" s="85">
        <f t="shared" si="23"/>
        <v>3552.8222089608221</v>
      </c>
      <c r="AK51" s="81">
        <f t="shared" si="23"/>
        <v>6152.2257055296377</v>
      </c>
      <c r="AL51" s="81">
        <f t="shared" si="23"/>
        <v>7074.3123068673485</v>
      </c>
      <c r="AM51" s="81">
        <f t="shared" si="23"/>
        <v>2683.8093304554641</v>
      </c>
      <c r="AN51" s="81">
        <f t="shared" si="23"/>
        <v>492.16167779034436</v>
      </c>
      <c r="AO51" s="81">
        <v>0</v>
      </c>
      <c r="AP51" s="81">
        <v>0</v>
      </c>
      <c r="AQ51" s="81">
        <f>AQ46+AO46+AP46</f>
        <v>2269.4841708773242</v>
      </c>
      <c r="AR51" s="81">
        <f>AR46</f>
        <v>2820.118635440138</v>
      </c>
      <c r="AS51" s="81">
        <f>AS46</f>
        <v>1312.9550329144215</v>
      </c>
      <c r="AT51" s="81">
        <v>0</v>
      </c>
      <c r="AU51" s="81">
        <f>AU46-AT46</f>
        <v>5986.9592100631216</v>
      </c>
      <c r="AV51" s="81">
        <f>AV46</f>
        <v>22872.993945419839</v>
      </c>
      <c r="AW51" s="81">
        <f>AW46</f>
        <v>16525.201645196918</v>
      </c>
      <c r="AX51" s="81"/>
      <c r="AY51" s="81"/>
    </row>
  </sheetData>
  <mergeCells count="15">
    <mergeCell ref="H44:M44"/>
    <mergeCell ref="R8:S10"/>
    <mergeCell ref="T8:W8"/>
    <mergeCell ref="X8:AX8"/>
    <mergeCell ref="D9:G9"/>
    <mergeCell ref="T9:AJ9"/>
    <mergeCell ref="AK9:AT9"/>
    <mergeCell ref="AV9:AW9"/>
    <mergeCell ref="I10:J10"/>
    <mergeCell ref="K10:L10"/>
    <mergeCell ref="R11:R21"/>
    <mergeCell ref="T24:AJ24"/>
    <mergeCell ref="AK24:AT24"/>
    <mergeCell ref="AV24:AW24"/>
    <mergeCell ref="H25:M25"/>
  </mergeCells>
  <hyperlinks>
    <hyperlink ref="P38" r:id="rId1" xr:uid="{35EF9283-6414-4244-8F90-AF3DD3AE8FC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4A53-36CA-4D6F-9C77-8FD9ECCEB43E}">
  <sheetPr>
    <tabColor rgb="FF0070C0"/>
  </sheetPr>
  <dimension ref="C5:BA54"/>
  <sheetViews>
    <sheetView topLeftCell="R75" zoomScale="110" zoomScaleNormal="110" workbookViewId="0">
      <selection activeCell="AV40" sqref="AV40"/>
    </sheetView>
  </sheetViews>
  <sheetFormatPr defaultRowHeight="15" x14ac:dyDescent="0.25"/>
  <cols>
    <col min="1" max="3" width="9.140625" style="2"/>
    <col min="4" max="4" width="18.85546875" style="2" customWidth="1"/>
    <col min="5" max="7" width="16.42578125" style="2" customWidth="1"/>
    <col min="8" max="17" width="9.140625" style="2"/>
    <col min="18" max="18" width="3.28515625" style="2" customWidth="1"/>
    <col min="19" max="19" width="5.7109375" style="2" customWidth="1"/>
    <col min="20" max="51" width="8.5703125" style="2" customWidth="1"/>
    <col min="52" max="16384" width="9.140625" style="2"/>
  </cols>
  <sheetData>
    <row r="5" spans="3:53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3:53" x14ac:dyDescent="0.25"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3:53" ht="7.5" customHeight="1" thickBot="1" x14ac:dyDescent="0.3"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5" t="s">
        <v>6</v>
      </c>
      <c r="AZ7" s="1"/>
      <c r="BA7" s="1"/>
    </row>
    <row r="8" spans="3:53" ht="7.5" customHeight="1" thickTop="1" thickBot="1" x14ac:dyDescent="0.3">
      <c r="Q8" s="1"/>
      <c r="R8" s="173"/>
      <c r="S8" s="174"/>
      <c r="T8" s="187"/>
      <c r="U8" s="187"/>
      <c r="V8" s="187"/>
      <c r="W8" s="188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8"/>
      <c r="AZ8" s="1"/>
      <c r="BA8" s="1"/>
    </row>
    <row r="9" spans="3:53" ht="7.5" customHeight="1" thickTop="1" thickBot="1" x14ac:dyDescent="0.3">
      <c r="D9" s="179" t="s">
        <v>45</v>
      </c>
      <c r="E9" s="180"/>
      <c r="F9" s="180"/>
      <c r="G9" s="181"/>
      <c r="Q9" s="1"/>
      <c r="R9" s="175"/>
      <c r="S9" s="176"/>
      <c r="T9" s="192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9"/>
      <c r="AV9" s="195"/>
      <c r="AW9" s="196"/>
      <c r="AX9" s="9"/>
      <c r="AY9" s="9"/>
      <c r="AZ9" s="1"/>
      <c r="BA9" s="1"/>
    </row>
    <row r="10" spans="3:53" ht="42" thickTop="1" thickBot="1" x14ac:dyDescent="0.3">
      <c r="D10" s="48" t="s">
        <v>29</v>
      </c>
      <c r="E10" s="48" t="s">
        <v>30</v>
      </c>
      <c r="F10" s="48" t="s">
        <v>31</v>
      </c>
      <c r="G10" s="48" t="s">
        <v>32</v>
      </c>
      <c r="I10" s="182" t="s">
        <v>47</v>
      </c>
      <c r="J10" s="182"/>
      <c r="K10" s="182" t="s">
        <v>48</v>
      </c>
      <c r="L10" s="182"/>
      <c r="Q10" s="1"/>
      <c r="R10" s="177"/>
      <c r="S10" s="178"/>
      <c r="T10" s="62">
        <v>1995</v>
      </c>
      <c r="U10" s="50">
        <v>1996</v>
      </c>
      <c r="V10" s="50">
        <v>1997</v>
      </c>
      <c r="W10" s="60">
        <v>1998</v>
      </c>
      <c r="X10" s="60">
        <v>1999</v>
      </c>
      <c r="Y10" s="60">
        <v>2000</v>
      </c>
      <c r="Z10" s="56">
        <v>2001</v>
      </c>
      <c r="AA10" s="56">
        <v>2002</v>
      </c>
      <c r="AB10" s="56">
        <v>2003</v>
      </c>
      <c r="AC10" s="56">
        <v>2004</v>
      </c>
      <c r="AD10" s="56">
        <v>2005</v>
      </c>
      <c r="AE10" s="56">
        <v>2006</v>
      </c>
      <c r="AF10" s="56">
        <v>2007</v>
      </c>
      <c r="AG10" s="67">
        <v>2008</v>
      </c>
      <c r="AH10" s="67">
        <v>2009</v>
      </c>
      <c r="AI10" s="67">
        <v>2010</v>
      </c>
      <c r="AJ10" s="56">
        <v>2011</v>
      </c>
      <c r="AK10" s="65">
        <v>2012</v>
      </c>
      <c r="AL10" s="65">
        <v>2013</v>
      </c>
      <c r="AM10" s="70">
        <v>2014</v>
      </c>
      <c r="AN10" s="69">
        <v>2015</v>
      </c>
      <c r="AO10" s="69">
        <v>2016</v>
      </c>
      <c r="AP10" s="69">
        <v>2017</v>
      </c>
      <c r="AQ10" s="69">
        <v>2018</v>
      </c>
      <c r="AR10" s="66">
        <v>2019</v>
      </c>
      <c r="AS10" s="63">
        <v>2020</v>
      </c>
      <c r="AT10" s="63">
        <v>2021</v>
      </c>
      <c r="AU10" s="57">
        <v>2022</v>
      </c>
      <c r="AV10" s="59">
        <v>2023</v>
      </c>
      <c r="AW10" s="59">
        <v>2024</v>
      </c>
      <c r="AX10" s="57">
        <v>2025</v>
      </c>
      <c r="AY10" s="54">
        <v>2026</v>
      </c>
      <c r="AZ10" s="1"/>
      <c r="BA10" s="1"/>
    </row>
    <row r="11" spans="3:53" ht="15.75" thickTop="1" x14ac:dyDescent="0.25">
      <c r="C11" s="49">
        <v>1</v>
      </c>
      <c r="D11" s="44" t="s">
        <v>33</v>
      </c>
      <c r="E11" s="46">
        <v>1239616</v>
      </c>
      <c r="F11" s="46">
        <v>272.69</v>
      </c>
      <c r="G11" s="46">
        <v>4394459093.54</v>
      </c>
      <c r="H11" s="58">
        <v>1</v>
      </c>
      <c r="I11" s="53">
        <f>E11/$E$22</f>
        <v>8.6883580308661224E-2</v>
      </c>
      <c r="J11" s="53">
        <f>SUM($I$11:I11)</f>
        <v>8.6883580308661224E-2</v>
      </c>
      <c r="K11" s="53">
        <f>G11/$G$22</f>
        <v>1.5011824145800174E-2</v>
      </c>
      <c r="L11" s="53">
        <f>SUM($K$11:K11)</f>
        <v>1.5011824145800174E-2</v>
      </c>
      <c r="Q11" s="1"/>
      <c r="R11" s="185" t="s">
        <v>1</v>
      </c>
      <c r="S11" s="3">
        <v>1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6">
        <v>100</v>
      </c>
      <c r="AF11" s="6">
        <v>100</v>
      </c>
      <c r="AG11" s="6">
        <v>100</v>
      </c>
      <c r="AH11" s="6">
        <v>100</v>
      </c>
      <c r="AI11" s="6">
        <v>100</v>
      </c>
      <c r="AJ11" s="6">
        <v>100</v>
      </c>
      <c r="AK11" s="6">
        <v>100</v>
      </c>
      <c r="AL11" s="6">
        <v>100</v>
      </c>
      <c r="AM11" s="6">
        <v>100</v>
      </c>
      <c r="AN11" s="6">
        <v>100</v>
      </c>
      <c r="AO11" s="6">
        <v>100</v>
      </c>
      <c r="AP11" s="6">
        <v>100</v>
      </c>
      <c r="AQ11" s="6">
        <v>100</v>
      </c>
      <c r="AR11" s="6">
        <v>100</v>
      </c>
      <c r="AS11" s="6">
        <v>100</v>
      </c>
      <c r="AT11" s="6">
        <v>100</v>
      </c>
      <c r="AU11" s="6">
        <v>100</v>
      </c>
      <c r="AV11" s="6">
        <v>100</v>
      </c>
      <c r="AW11" s="6">
        <v>100</v>
      </c>
      <c r="AX11" s="6">
        <v>100</v>
      </c>
      <c r="AY11" s="38">
        <v>100</v>
      </c>
      <c r="AZ11" s="1"/>
      <c r="BA11" s="1"/>
    </row>
    <row r="12" spans="3:53" x14ac:dyDescent="0.25">
      <c r="C12" s="49">
        <v>2</v>
      </c>
      <c r="D12" s="44" t="s">
        <v>34</v>
      </c>
      <c r="E12" s="46">
        <v>3870395</v>
      </c>
      <c r="F12" s="46">
        <v>756.59</v>
      </c>
      <c r="G12" s="46">
        <v>38068101562.07</v>
      </c>
      <c r="H12" s="58">
        <v>2</v>
      </c>
      <c r="I12" s="53">
        <f t="shared" ref="I12:I22" si="0">E12/$E$22</f>
        <v>0.27127253505016136</v>
      </c>
      <c r="J12" s="53">
        <f>SUM($I$11:I12)</f>
        <v>0.35815611535882258</v>
      </c>
      <c r="K12" s="53">
        <f t="shared" ref="K12:K22" si="1">G12/$G$22</f>
        <v>0.13004368320422824</v>
      </c>
      <c r="L12" s="53">
        <f>SUM($K$11:K12)</f>
        <v>0.14505550735002842</v>
      </c>
      <c r="Q12" s="1"/>
      <c r="R12" s="185"/>
      <c r="S12" s="3">
        <v>2</v>
      </c>
      <c r="T12" s="4">
        <v>100</v>
      </c>
      <c r="U12" s="4">
        <v>100</v>
      </c>
      <c r="V12" s="4">
        <v>100</v>
      </c>
      <c r="W12" s="4">
        <v>100</v>
      </c>
      <c r="X12" s="4">
        <v>100</v>
      </c>
      <c r="Y12" s="4">
        <v>100</v>
      </c>
      <c r="Z12" s="4">
        <v>100</v>
      </c>
      <c r="AA12" s="4">
        <v>100</v>
      </c>
      <c r="AB12" s="4">
        <v>100</v>
      </c>
      <c r="AC12" s="4">
        <v>100</v>
      </c>
      <c r="AD12" s="4">
        <v>100</v>
      </c>
      <c r="AE12" s="4">
        <v>100</v>
      </c>
      <c r="AF12" s="4">
        <v>100</v>
      </c>
      <c r="AG12" s="4">
        <v>100</v>
      </c>
      <c r="AH12" s="4">
        <v>100</v>
      </c>
      <c r="AI12" s="4">
        <v>100</v>
      </c>
      <c r="AJ12" s="4">
        <v>100</v>
      </c>
      <c r="AK12" s="4">
        <v>100</v>
      </c>
      <c r="AL12" s="4">
        <v>100</v>
      </c>
      <c r="AM12" s="4">
        <v>100</v>
      </c>
      <c r="AN12" s="4">
        <v>100</v>
      </c>
      <c r="AO12" s="4">
        <v>100</v>
      </c>
      <c r="AP12" s="4">
        <v>100</v>
      </c>
      <c r="AQ12" s="4">
        <v>100</v>
      </c>
      <c r="AR12" s="4">
        <v>100</v>
      </c>
      <c r="AS12" s="4">
        <v>100</v>
      </c>
      <c r="AT12" s="4">
        <v>100</v>
      </c>
      <c r="AU12" s="4">
        <v>100</v>
      </c>
      <c r="AV12" s="4">
        <v>100</v>
      </c>
      <c r="AW12" s="4">
        <v>100</v>
      </c>
      <c r="AX12" s="4">
        <v>100</v>
      </c>
      <c r="AY12" s="39">
        <v>100</v>
      </c>
      <c r="AZ12" s="1"/>
      <c r="BA12" s="1"/>
    </row>
    <row r="13" spans="3:53" x14ac:dyDescent="0.25">
      <c r="C13" s="49">
        <v>3</v>
      </c>
      <c r="D13" s="44" t="s">
        <v>35</v>
      </c>
      <c r="E13" s="46">
        <v>3488899</v>
      </c>
      <c r="F13" s="46">
        <v>1316.18</v>
      </c>
      <c r="G13" s="46">
        <v>59696377524.93</v>
      </c>
      <c r="H13" s="58">
        <v>3</v>
      </c>
      <c r="I13" s="53">
        <f t="shared" si="0"/>
        <v>0.24453382051805383</v>
      </c>
      <c r="J13" s="53">
        <f>SUM($I$11:I13)</f>
        <v>0.60268993587687647</v>
      </c>
      <c r="K13" s="53">
        <f t="shared" si="1"/>
        <v>0.20392760575765045</v>
      </c>
      <c r="L13" s="53">
        <f>SUM($K$11:K13)</f>
        <v>0.34898311310767888</v>
      </c>
      <c r="Q13" s="1"/>
      <c r="R13" s="185"/>
      <c r="S13" s="3">
        <v>3</v>
      </c>
      <c r="T13" s="4">
        <v>90</v>
      </c>
      <c r="U13" s="4">
        <v>90</v>
      </c>
      <c r="V13" s="4">
        <v>90</v>
      </c>
      <c r="W13" s="4">
        <v>90</v>
      </c>
      <c r="X13" s="4">
        <v>90</v>
      </c>
      <c r="Y13" s="4">
        <v>90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N13" s="4">
        <v>100</v>
      </c>
      <c r="AO13" s="4">
        <v>100</v>
      </c>
      <c r="AP13" s="4">
        <v>100</v>
      </c>
      <c r="AQ13" s="4">
        <v>100</v>
      </c>
      <c r="AR13" s="4">
        <v>100</v>
      </c>
      <c r="AS13" s="4">
        <v>100</v>
      </c>
      <c r="AT13" s="4">
        <v>100</v>
      </c>
      <c r="AU13" s="4">
        <v>100</v>
      </c>
      <c r="AV13" s="4">
        <v>100</v>
      </c>
      <c r="AW13" s="4">
        <v>100</v>
      </c>
      <c r="AX13" s="4">
        <v>100</v>
      </c>
      <c r="AY13" s="39">
        <v>100</v>
      </c>
      <c r="AZ13" s="1"/>
      <c r="BA13" s="1"/>
    </row>
    <row r="14" spans="3:53" x14ac:dyDescent="0.25">
      <c r="C14" s="49">
        <v>4</v>
      </c>
      <c r="D14" s="44" t="s">
        <v>36</v>
      </c>
      <c r="E14" s="46">
        <v>2407576</v>
      </c>
      <c r="F14" s="46">
        <v>1824.13</v>
      </c>
      <c r="G14" s="46">
        <v>57092560198.25</v>
      </c>
      <c r="H14" s="58">
        <v>4</v>
      </c>
      <c r="I14" s="53">
        <f t="shared" si="0"/>
        <v>0.1687448554594369</v>
      </c>
      <c r="J14" s="53">
        <f>SUM($I$11:I14)</f>
        <v>0.77143479133631332</v>
      </c>
      <c r="K14" s="53">
        <f t="shared" si="1"/>
        <v>0.19503275727143551</v>
      </c>
      <c r="L14" s="53">
        <f>SUM($K$11:K14)</f>
        <v>0.54401587037911436</v>
      </c>
      <c r="Q14" s="1"/>
      <c r="R14" s="185"/>
      <c r="S14" s="3">
        <v>4</v>
      </c>
      <c r="T14" s="4">
        <v>75</v>
      </c>
      <c r="U14" s="4">
        <v>75</v>
      </c>
      <c r="V14" s="4">
        <v>75</v>
      </c>
      <c r="W14" s="4">
        <v>75</v>
      </c>
      <c r="X14" s="4">
        <v>75</v>
      </c>
      <c r="Y14" s="4">
        <v>75</v>
      </c>
      <c r="Z14" s="4">
        <v>90</v>
      </c>
      <c r="AA14" s="4">
        <v>90</v>
      </c>
      <c r="AB14" s="4">
        <v>90</v>
      </c>
      <c r="AC14" s="4">
        <v>90</v>
      </c>
      <c r="AD14" s="4">
        <v>90</v>
      </c>
      <c r="AE14" s="4">
        <v>90</v>
      </c>
      <c r="AF14" s="4">
        <v>90</v>
      </c>
      <c r="AG14" s="4">
        <v>100</v>
      </c>
      <c r="AH14" s="4">
        <v>100</v>
      </c>
      <c r="AI14" s="4">
        <v>100</v>
      </c>
      <c r="AJ14" s="4">
        <v>90</v>
      </c>
      <c r="AK14" s="4">
        <v>40</v>
      </c>
      <c r="AL14" s="4">
        <v>40</v>
      </c>
      <c r="AM14" s="4">
        <v>95</v>
      </c>
      <c r="AN14" s="4">
        <v>95</v>
      </c>
      <c r="AO14" s="4">
        <v>95</v>
      </c>
      <c r="AP14" s="4">
        <v>95</v>
      </c>
      <c r="AQ14" s="4">
        <v>95</v>
      </c>
      <c r="AR14" s="4">
        <v>97</v>
      </c>
      <c r="AS14" s="4">
        <v>100</v>
      </c>
      <c r="AT14" s="4">
        <v>100</v>
      </c>
      <c r="AU14" s="4">
        <v>100</v>
      </c>
      <c r="AV14" s="4">
        <v>100</v>
      </c>
      <c r="AW14" s="4">
        <v>100</v>
      </c>
      <c r="AX14" s="4">
        <v>100</v>
      </c>
      <c r="AY14" s="39">
        <v>100</v>
      </c>
      <c r="AZ14" s="1"/>
      <c r="BA14" s="1"/>
    </row>
    <row r="15" spans="3:53" x14ac:dyDescent="0.25">
      <c r="C15" s="49">
        <v>5</v>
      </c>
      <c r="D15" s="44" t="s">
        <v>37</v>
      </c>
      <c r="E15" s="46">
        <v>1529558</v>
      </c>
      <c r="F15" s="46">
        <v>2343.69</v>
      </c>
      <c r="G15" s="46">
        <v>46602616234</v>
      </c>
      <c r="H15" s="58">
        <v>5</v>
      </c>
      <c r="I15" s="53">
        <f t="shared" si="0"/>
        <v>0.10720535660216973</v>
      </c>
      <c r="J15" s="53">
        <f>SUM($I$11:I15)</f>
        <v>0.87864014793848311</v>
      </c>
      <c r="K15" s="53">
        <f t="shared" si="1"/>
        <v>0.15919826871694887</v>
      </c>
      <c r="L15" s="53">
        <f>SUM($K$11:K15)</f>
        <v>0.70321413909606323</v>
      </c>
      <c r="Q15" s="1"/>
      <c r="R15" s="185"/>
      <c r="S15" s="3">
        <v>5</v>
      </c>
      <c r="T15" s="4">
        <v>75</v>
      </c>
      <c r="U15" s="4">
        <v>75</v>
      </c>
      <c r="V15" s="4">
        <v>75</v>
      </c>
      <c r="W15" s="4">
        <v>75</v>
      </c>
      <c r="X15" s="4">
        <v>75</v>
      </c>
      <c r="Y15" s="4">
        <v>75</v>
      </c>
      <c r="Z15" s="4">
        <v>90</v>
      </c>
      <c r="AA15" s="4">
        <v>90</v>
      </c>
      <c r="AB15" s="4">
        <v>90</v>
      </c>
      <c r="AC15" s="4">
        <v>90</v>
      </c>
      <c r="AD15" s="4">
        <v>90</v>
      </c>
      <c r="AE15" s="4">
        <v>90</v>
      </c>
      <c r="AF15" s="4">
        <v>90</v>
      </c>
      <c r="AG15" s="4">
        <v>100</v>
      </c>
      <c r="AH15" s="4">
        <v>100</v>
      </c>
      <c r="AI15" s="4">
        <v>100</v>
      </c>
      <c r="AJ15" s="4">
        <v>90</v>
      </c>
      <c r="AK15" s="4">
        <v>20</v>
      </c>
      <c r="AL15" s="4">
        <v>20</v>
      </c>
      <c r="AM15" s="4">
        <v>75</v>
      </c>
      <c r="AN15" s="4">
        <v>75</v>
      </c>
      <c r="AO15" s="4">
        <v>75</v>
      </c>
      <c r="AP15" s="4">
        <v>75</v>
      </c>
      <c r="AQ15" s="4">
        <v>75</v>
      </c>
      <c r="AR15" s="4">
        <v>77</v>
      </c>
      <c r="AS15" s="4">
        <v>77</v>
      </c>
      <c r="AT15" s="4">
        <v>77</v>
      </c>
      <c r="AU15" s="4">
        <v>90</v>
      </c>
      <c r="AV15" s="4">
        <v>85</v>
      </c>
      <c r="AW15" s="4">
        <v>85</v>
      </c>
      <c r="AX15" s="4">
        <v>90</v>
      </c>
      <c r="AY15" s="39">
        <v>90</v>
      </c>
      <c r="AZ15" s="1"/>
      <c r="BA15" s="1"/>
    </row>
    <row r="16" spans="3:53" x14ac:dyDescent="0.25">
      <c r="C16" s="49">
        <v>6</v>
      </c>
      <c r="D16" s="44" t="s">
        <v>38</v>
      </c>
      <c r="E16" s="46">
        <v>734699</v>
      </c>
      <c r="F16" s="46">
        <v>2858.45</v>
      </c>
      <c r="G16" s="46">
        <v>27301324401.029999</v>
      </c>
      <c r="H16" s="58">
        <v>6</v>
      </c>
      <c r="I16" s="53">
        <f t="shared" si="0"/>
        <v>5.1494397917736696E-2</v>
      </c>
      <c r="J16" s="53">
        <f>SUM($I$11:I16)</f>
        <v>0.9301345458562198</v>
      </c>
      <c r="K16" s="53">
        <f t="shared" si="1"/>
        <v>9.326351028234349E-2</v>
      </c>
      <c r="L16" s="53">
        <f>SUM($K$11:K16)</f>
        <v>0.7964776493784067</v>
      </c>
      <c r="Q16" s="1"/>
      <c r="R16" s="185"/>
      <c r="S16" s="3">
        <v>6</v>
      </c>
      <c r="T16" s="4">
        <v>75</v>
      </c>
      <c r="U16" s="4">
        <v>75</v>
      </c>
      <c r="V16" s="4">
        <v>75</v>
      </c>
      <c r="W16" s="4">
        <v>0</v>
      </c>
      <c r="X16" s="4">
        <v>30</v>
      </c>
      <c r="Y16" s="4">
        <v>30</v>
      </c>
      <c r="Z16" s="4">
        <v>75</v>
      </c>
      <c r="AA16" s="4">
        <v>75</v>
      </c>
      <c r="AB16" s="4">
        <v>75</v>
      </c>
      <c r="AC16" s="4">
        <v>75</v>
      </c>
      <c r="AD16" s="4">
        <v>75</v>
      </c>
      <c r="AE16" s="4">
        <v>75</v>
      </c>
      <c r="AF16" s="4">
        <v>75</v>
      </c>
      <c r="AG16" s="4">
        <v>75</v>
      </c>
      <c r="AH16" s="4">
        <v>75</v>
      </c>
      <c r="AI16" s="4">
        <v>75</v>
      </c>
      <c r="AJ16" s="4">
        <v>75</v>
      </c>
      <c r="AK16" s="4">
        <v>10</v>
      </c>
      <c r="AL16" s="4">
        <v>10</v>
      </c>
      <c r="AM16" s="4">
        <v>50</v>
      </c>
      <c r="AN16" s="4">
        <v>50</v>
      </c>
      <c r="AO16" s="4">
        <v>50</v>
      </c>
      <c r="AP16" s="4">
        <v>50</v>
      </c>
      <c r="AQ16" s="4">
        <v>50</v>
      </c>
      <c r="AR16" s="4">
        <v>52</v>
      </c>
      <c r="AS16" s="4">
        <v>52</v>
      </c>
      <c r="AT16" s="4">
        <v>52</v>
      </c>
      <c r="AU16" s="4">
        <v>75</v>
      </c>
      <c r="AV16" s="4">
        <v>53</v>
      </c>
      <c r="AW16" s="4">
        <v>53</v>
      </c>
      <c r="AX16" s="4">
        <v>75</v>
      </c>
      <c r="AY16" s="39">
        <v>75</v>
      </c>
      <c r="AZ16" s="1"/>
      <c r="BA16" s="1"/>
    </row>
    <row r="17" spans="3:53" x14ac:dyDescent="0.25">
      <c r="C17" s="49">
        <v>7</v>
      </c>
      <c r="D17" s="44" t="s">
        <v>39</v>
      </c>
      <c r="E17" s="46">
        <v>366953</v>
      </c>
      <c r="F17" s="46">
        <v>3383.51</v>
      </c>
      <c r="G17" s="46">
        <v>16140675372.41</v>
      </c>
      <c r="H17" s="58">
        <v>7</v>
      </c>
      <c r="I17" s="53">
        <f t="shared" si="0"/>
        <v>2.5719408627352471E-2</v>
      </c>
      <c r="J17" s="53">
        <f>SUM($I$11:I17)</f>
        <v>0.95585395448357224</v>
      </c>
      <c r="K17" s="53">
        <f t="shared" si="1"/>
        <v>5.5137839521878153E-2</v>
      </c>
      <c r="L17" s="53">
        <f>SUM($K$11:K17)</f>
        <v>0.85161548890028482</v>
      </c>
      <c r="Q17" s="1"/>
      <c r="R17" s="185"/>
      <c r="S17" s="3">
        <v>7</v>
      </c>
      <c r="T17" s="4">
        <v>75</v>
      </c>
      <c r="U17" s="4">
        <v>75</v>
      </c>
      <c r="V17" s="4">
        <v>75</v>
      </c>
      <c r="W17" s="4">
        <v>0</v>
      </c>
      <c r="X17" s="4">
        <v>30</v>
      </c>
      <c r="Y17" s="4">
        <v>30</v>
      </c>
      <c r="Z17" s="4">
        <v>75</v>
      </c>
      <c r="AA17" s="4">
        <v>75</v>
      </c>
      <c r="AB17" s="4">
        <v>75</v>
      </c>
      <c r="AC17" s="4">
        <v>75</v>
      </c>
      <c r="AD17" s="4">
        <v>75</v>
      </c>
      <c r="AE17" s="4">
        <v>75</v>
      </c>
      <c r="AF17" s="4">
        <v>75</v>
      </c>
      <c r="AG17" s="4">
        <v>75</v>
      </c>
      <c r="AH17" s="4">
        <v>75</v>
      </c>
      <c r="AI17" s="4">
        <v>75</v>
      </c>
      <c r="AJ17" s="4">
        <v>75</v>
      </c>
      <c r="AK17" s="4">
        <v>0</v>
      </c>
      <c r="AL17" s="4">
        <v>0</v>
      </c>
      <c r="AM17" s="4">
        <v>40</v>
      </c>
      <c r="AN17" s="4">
        <v>45</v>
      </c>
      <c r="AO17" s="4">
        <v>45</v>
      </c>
      <c r="AP17" s="4">
        <v>45</v>
      </c>
      <c r="AQ17" s="4">
        <v>45</v>
      </c>
      <c r="AR17" s="4">
        <v>47</v>
      </c>
      <c r="AS17" s="4">
        <v>47</v>
      </c>
      <c r="AT17" s="4">
        <v>47</v>
      </c>
      <c r="AU17" s="4">
        <v>75</v>
      </c>
      <c r="AV17" s="4">
        <v>47</v>
      </c>
      <c r="AW17" s="4">
        <v>47</v>
      </c>
      <c r="AX17" s="4">
        <v>75</v>
      </c>
      <c r="AY17" s="39">
        <v>75</v>
      </c>
      <c r="AZ17" s="1"/>
      <c r="BA17" s="1"/>
    </row>
    <row r="18" spans="3:53" x14ac:dyDescent="0.25">
      <c r="C18" s="49">
        <v>8</v>
      </c>
      <c r="D18" s="44" t="s">
        <v>40</v>
      </c>
      <c r="E18" s="46">
        <v>191471</v>
      </c>
      <c r="F18" s="46">
        <v>3913.9</v>
      </c>
      <c r="G18" s="46">
        <v>9742179313.7099991</v>
      </c>
      <c r="H18" s="58">
        <v>8</v>
      </c>
      <c r="I18" s="53">
        <f t="shared" si="0"/>
        <v>1.3420031691491294E-2</v>
      </c>
      <c r="J18" s="53">
        <f>SUM($I$11:I18)</f>
        <v>0.96927398617506355</v>
      </c>
      <c r="K18" s="53">
        <f t="shared" si="1"/>
        <v>3.3280064631675821E-2</v>
      </c>
      <c r="L18" s="53">
        <f>SUM($K$11:K18)</f>
        <v>0.8848955535319607</v>
      </c>
      <c r="Q18" s="1"/>
      <c r="R18" s="185"/>
      <c r="S18" s="3">
        <v>8</v>
      </c>
      <c r="T18" s="4">
        <v>75</v>
      </c>
      <c r="U18" s="4">
        <v>75</v>
      </c>
      <c r="V18" s="4">
        <v>75</v>
      </c>
      <c r="W18" s="4">
        <v>0</v>
      </c>
      <c r="X18" s="4">
        <v>30</v>
      </c>
      <c r="Y18" s="4">
        <v>30</v>
      </c>
      <c r="Z18" s="4">
        <v>75</v>
      </c>
      <c r="AA18" s="4">
        <v>75</v>
      </c>
      <c r="AB18" s="4">
        <v>75</v>
      </c>
      <c r="AC18" s="4">
        <v>75</v>
      </c>
      <c r="AD18" s="4">
        <v>75</v>
      </c>
      <c r="AE18" s="4">
        <v>75</v>
      </c>
      <c r="AF18" s="4">
        <v>75</v>
      </c>
      <c r="AG18" s="4">
        <v>75</v>
      </c>
      <c r="AH18" s="4">
        <v>75</v>
      </c>
      <c r="AI18" s="4">
        <v>75</v>
      </c>
      <c r="AJ18" s="4">
        <v>75</v>
      </c>
      <c r="AK18" s="4">
        <v>0</v>
      </c>
      <c r="AL18" s="4">
        <v>0</v>
      </c>
      <c r="AM18" s="4">
        <v>0</v>
      </c>
      <c r="AN18" s="4">
        <v>45</v>
      </c>
      <c r="AO18" s="4">
        <v>45</v>
      </c>
      <c r="AP18" s="4">
        <v>45</v>
      </c>
      <c r="AQ18" s="4">
        <v>45</v>
      </c>
      <c r="AR18" s="4">
        <v>47</v>
      </c>
      <c r="AS18" s="4">
        <v>47</v>
      </c>
      <c r="AT18" s="4">
        <v>47</v>
      </c>
      <c r="AU18" s="4">
        <v>75</v>
      </c>
      <c r="AV18" s="4">
        <v>47</v>
      </c>
      <c r="AW18" s="4">
        <v>47</v>
      </c>
      <c r="AX18" s="4">
        <v>75</v>
      </c>
      <c r="AY18" s="39">
        <v>75</v>
      </c>
      <c r="AZ18" s="1"/>
      <c r="BA18" s="1"/>
    </row>
    <row r="19" spans="3:53" x14ac:dyDescent="0.25">
      <c r="C19" s="49">
        <v>9</v>
      </c>
      <c r="D19" s="44" t="s">
        <v>41</v>
      </c>
      <c r="E19" s="46">
        <v>115269</v>
      </c>
      <c r="F19" s="46">
        <v>4450.38</v>
      </c>
      <c r="G19" s="46">
        <v>6668874671.3100004</v>
      </c>
      <c r="H19" s="58">
        <v>9</v>
      </c>
      <c r="I19" s="53">
        <f t="shared" si="0"/>
        <v>8.0791014464149137E-3</v>
      </c>
      <c r="J19" s="53">
        <f>SUM($I$11:I19)</f>
        <v>0.97735308762147843</v>
      </c>
      <c r="K19" s="53">
        <f t="shared" si="1"/>
        <v>2.278140988119666E-2</v>
      </c>
      <c r="L19" s="53">
        <f>SUM($K$11:K19)</f>
        <v>0.9076769634131574</v>
      </c>
      <c r="Q19" s="1"/>
      <c r="R19" s="185"/>
      <c r="S19" s="3">
        <v>9</v>
      </c>
      <c r="T19" s="4">
        <v>75</v>
      </c>
      <c r="U19" s="4">
        <v>75</v>
      </c>
      <c r="V19" s="4">
        <v>75</v>
      </c>
      <c r="W19" s="4">
        <v>0</v>
      </c>
      <c r="X19" s="4">
        <v>0</v>
      </c>
      <c r="Y19" s="4">
        <v>0</v>
      </c>
      <c r="Z19" s="4">
        <v>75</v>
      </c>
      <c r="AA19" s="4">
        <v>75</v>
      </c>
      <c r="AB19" s="4">
        <v>75</v>
      </c>
      <c r="AC19" s="4">
        <v>75</v>
      </c>
      <c r="AD19" s="4">
        <v>75</v>
      </c>
      <c r="AE19" s="4">
        <v>75</v>
      </c>
      <c r="AF19" s="4">
        <v>75</v>
      </c>
      <c r="AG19" s="4">
        <v>0</v>
      </c>
      <c r="AH19" s="4">
        <v>75</v>
      </c>
      <c r="AI19" s="4">
        <v>75</v>
      </c>
      <c r="AJ19" s="4">
        <v>75</v>
      </c>
      <c r="AK19" s="4">
        <v>0</v>
      </c>
      <c r="AL19" s="4">
        <v>0</v>
      </c>
      <c r="AM19" s="4">
        <v>0</v>
      </c>
      <c r="AN19" s="4">
        <v>45</v>
      </c>
      <c r="AO19" s="4">
        <v>45</v>
      </c>
      <c r="AP19" s="4">
        <v>45</v>
      </c>
      <c r="AQ19" s="4">
        <v>45</v>
      </c>
      <c r="AR19" s="4">
        <v>45</v>
      </c>
      <c r="AS19" s="4">
        <v>45</v>
      </c>
      <c r="AT19" s="4">
        <v>45</v>
      </c>
      <c r="AU19" s="4">
        <v>75</v>
      </c>
      <c r="AV19" s="4">
        <v>37</v>
      </c>
      <c r="AW19" s="4">
        <v>37</v>
      </c>
      <c r="AX19" s="4">
        <v>75</v>
      </c>
      <c r="AY19" s="39">
        <v>75</v>
      </c>
      <c r="AZ19" s="1"/>
      <c r="BA19" s="1"/>
    </row>
    <row r="20" spans="3:53" x14ac:dyDescent="0.25">
      <c r="C20" s="49">
        <v>10</v>
      </c>
      <c r="D20" s="44" t="s">
        <v>42</v>
      </c>
      <c r="E20" s="46">
        <v>82881</v>
      </c>
      <c r="F20" s="46">
        <v>4977.6499999999996</v>
      </c>
      <c r="G20" s="46">
        <v>5363185491.2200003</v>
      </c>
      <c r="H20" s="58">
        <v>10</v>
      </c>
      <c r="I20" s="53">
        <f t="shared" si="0"/>
        <v>5.8090554006742009E-3</v>
      </c>
      <c r="J20" s="53">
        <f>SUM($I$11:I20)</f>
        <v>0.98316214302215266</v>
      </c>
      <c r="K20" s="53">
        <f t="shared" si="1"/>
        <v>1.8321071090149795E-2</v>
      </c>
      <c r="L20" s="53">
        <f>SUM($K$11:K20)</f>
        <v>0.9259980345033072</v>
      </c>
      <c r="Q20" s="1"/>
      <c r="R20" s="185"/>
      <c r="S20" s="3">
        <v>10</v>
      </c>
      <c r="T20" s="4">
        <v>75</v>
      </c>
      <c r="U20" s="4">
        <v>75</v>
      </c>
      <c r="V20" s="4">
        <v>75</v>
      </c>
      <c r="W20" s="4">
        <v>0</v>
      </c>
      <c r="X20" s="4">
        <v>0</v>
      </c>
      <c r="Y20" s="4">
        <v>0</v>
      </c>
      <c r="Z20" s="4">
        <v>75</v>
      </c>
      <c r="AA20" s="4">
        <v>75</v>
      </c>
      <c r="AB20" s="4">
        <v>75</v>
      </c>
      <c r="AC20" s="4">
        <v>75</v>
      </c>
      <c r="AD20" s="4">
        <v>75</v>
      </c>
      <c r="AE20" s="4">
        <v>75</v>
      </c>
      <c r="AF20" s="4">
        <v>75</v>
      </c>
      <c r="AG20" s="4">
        <v>0</v>
      </c>
      <c r="AH20" s="4">
        <v>75</v>
      </c>
      <c r="AI20" s="4">
        <v>75</v>
      </c>
      <c r="AJ20" s="4">
        <v>75</v>
      </c>
      <c r="AK20" s="4">
        <v>0</v>
      </c>
      <c r="AL20" s="4">
        <v>0</v>
      </c>
      <c r="AM20" s="4">
        <v>0</v>
      </c>
      <c r="AN20" s="4">
        <v>45</v>
      </c>
      <c r="AO20" s="4">
        <v>45</v>
      </c>
      <c r="AP20" s="4">
        <v>45</v>
      </c>
      <c r="AQ20" s="4">
        <v>45</v>
      </c>
      <c r="AR20" s="4">
        <v>40</v>
      </c>
      <c r="AS20" s="4">
        <v>40</v>
      </c>
      <c r="AT20" s="4">
        <v>40</v>
      </c>
      <c r="AU20" s="4">
        <v>75</v>
      </c>
      <c r="AV20" s="4">
        <v>37</v>
      </c>
      <c r="AW20" s="4">
        <v>37</v>
      </c>
      <c r="AX20" s="4">
        <v>75</v>
      </c>
      <c r="AY20" s="39">
        <v>75</v>
      </c>
      <c r="AZ20" s="1"/>
      <c r="BA20" s="1"/>
    </row>
    <row r="21" spans="3:53" ht="15.75" thickBot="1" x14ac:dyDescent="0.3">
      <c r="C21" s="49" t="s">
        <v>46</v>
      </c>
      <c r="D21" s="44" t="s">
        <v>43</v>
      </c>
      <c r="E21" s="46">
        <v>240235</v>
      </c>
      <c r="F21" s="46">
        <v>6936.42</v>
      </c>
      <c r="G21" s="46">
        <v>21662831049.599998</v>
      </c>
      <c r="H21" s="58" t="s">
        <v>46</v>
      </c>
      <c r="I21" s="53">
        <f t="shared" si="0"/>
        <v>1.6837856977847357E-2</v>
      </c>
      <c r="J21" s="53">
        <f>SUM($I$11:I21)</f>
        <v>1</v>
      </c>
      <c r="K21" s="53">
        <f t="shared" si="1"/>
        <v>7.4001965496692801E-2</v>
      </c>
      <c r="L21" s="53">
        <f>SUM($K$11:K21)</f>
        <v>1</v>
      </c>
      <c r="Q21" s="1"/>
      <c r="R21" s="186"/>
      <c r="S21" s="40" t="s">
        <v>0</v>
      </c>
      <c r="T21" s="41">
        <v>75</v>
      </c>
      <c r="U21" s="41">
        <v>75</v>
      </c>
      <c r="V21" s="41">
        <v>75</v>
      </c>
      <c r="W21" s="41">
        <v>0</v>
      </c>
      <c r="X21" s="41">
        <v>0</v>
      </c>
      <c r="Y21" s="41">
        <v>0</v>
      </c>
      <c r="Z21" s="41">
        <v>75</v>
      </c>
      <c r="AA21" s="41">
        <v>75</v>
      </c>
      <c r="AB21" s="41">
        <v>75</v>
      </c>
      <c r="AC21" s="41">
        <v>75</v>
      </c>
      <c r="AD21" s="41">
        <v>75</v>
      </c>
      <c r="AE21" s="41">
        <v>75</v>
      </c>
      <c r="AF21" s="41">
        <v>75</v>
      </c>
      <c r="AG21" s="41">
        <v>0</v>
      </c>
      <c r="AH21" s="41">
        <v>75</v>
      </c>
      <c r="AI21" s="41">
        <v>75</v>
      </c>
      <c r="AJ21" s="41">
        <v>75</v>
      </c>
      <c r="AK21" s="41">
        <v>0</v>
      </c>
      <c r="AL21" s="41">
        <v>0</v>
      </c>
      <c r="AM21" s="41">
        <v>0</v>
      </c>
      <c r="AN21" s="41">
        <v>45</v>
      </c>
      <c r="AO21" s="41">
        <v>45</v>
      </c>
      <c r="AP21" s="41">
        <v>45</v>
      </c>
      <c r="AQ21" s="41">
        <v>45</v>
      </c>
      <c r="AR21" s="41">
        <v>40</v>
      </c>
      <c r="AS21" s="41">
        <v>40</v>
      </c>
      <c r="AT21" s="41">
        <v>40</v>
      </c>
      <c r="AU21" s="41">
        <v>75</v>
      </c>
      <c r="AV21" s="41">
        <v>32</v>
      </c>
      <c r="AW21" s="41">
        <v>22</v>
      </c>
      <c r="AX21" s="41">
        <v>75</v>
      </c>
      <c r="AY21" s="42">
        <v>75</v>
      </c>
      <c r="AZ21" s="1"/>
      <c r="BA21" s="1"/>
    </row>
    <row r="22" spans="3:53" ht="15.75" thickTop="1" x14ac:dyDescent="0.25">
      <c r="C22" s="47"/>
      <c r="D22" s="45" t="s">
        <v>44</v>
      </c>
      <c r="E22" s="43">
        <v>14267552</v>
      </c>
      <c r="F22" s="43">
        <v>33033.589999999997</v>
      </c>
      <c r="G22" s="43">
        <v>292733184912.07001</v>
      </c>
      <c r="I22" s="53">
        <f t="shared" si="0"/>
        <v>1</v>
      </c>
      <c r="J22" s="52"/>
      <c r="K22" s="53">
        <f t="shared" si="1"/>
        <v>1</v>
      </c>
      <c r="L22" s="53"/>
    </row>
    <row r="23" spans="3:53" ht="15.75" thickBot="1" x14ac:dyDescent="0.3"/>
    <row r="24" spans="3:53" ht="15.75" thickTop="1" x14ac:dyDescent="0.25">
      <c r="T24" s="189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88"/>
      <c r="AV24" s="198"/>
      <c r="AW24" s="199"/>
      <c r="AX24" s="88"/>
      <c r="AY24" s="88"/>
    </row>
    <row r="25" spans="3:53" x14ac:dyDescent="0.25">
      <c r="H25" s="183" t="s">
        <v>49</v>
      </c>
      <c r="I25" s="184"/>
      <c r="J25" s="184"/>
      <c r="K25" s="184"/>
      <c r="L25" s="184"/>
      <c r="M25" s="184"/>
      <c r="T25" s="77">
        <f>T11*$K11</f>
        <v>1.5011824145800174</v>
      </c>
      <c r="U25" s="77">
        <f>U11*$K11</f>
        <v>1.5011824145800174</v>
      </c>
      <c r="V25" s="77">
        <f t="shared" ref="V25:AJ25" si="2">V11*$K11</f>
        <v>1.5011824145800174</v>
      </c>
      <c r="W25" s="77">
        <f>W11*$K11</f>
        <v>1.5011824145800174</v>
      </c>
      <c r="X25" s="77">
        <f t="shared" si="2"/>
        <v>1.5011824145800174</v>
      </c>
      <c r="Y25" s="77">
        <f t="shared" si="2"/>
        <v>1.5011824145800174</v>
      </c>
      <c r="Z25" s="77">
        <f t="shared" si="2"/>
        <v>1.5011824145800174</v>
      </c>
      <c r="AA25" s="77">
        <f t="shared" si="2"/>
        <v>1.5011824145800174</v>
      </c>
      <c r="AB25" s="77">
        <f t="shared" si="2"/>
        <v>1.5011824145800174</v>
      </c>
      <c r="AC25" s="77">
        <f t="shared" si="2"/>
        <v>1.5011824145800174</v>
      </c>
      <c r="AD25" s="77">
        <f t="shared" si="2"/>
        <v>1.5011824145800174</v>
      </c>
      <c r="AE25" s="77">
        <f t="shared" si="2"/>
        <v>1.5011824145800174</v>
      </c>
      <c r="AF25" s="77">
        <f t="shared" si="2"/>
        <v>1.5011824145800174</v>
      </c>
      <c r="AG25" s="77">
        <f t="shared" si="2"/>
        <v>1.5011824145800174</v>
      </c>
      <c r="AH25" s="77">
        <f t="shared" si="2"/>
        <v>1.5011824145800174</v>
      </c>
      <c r="AI25" s="77">
        <f t="shared" si="2"/>
        <v>1.5011824145800174</v>
      </c>
      <c r="AJ25" s="77">
        <f t="shared" si="2"/>
        <v>1.5011824145800174</v>
      </c>
      <c r="AK25" s="47">
        <f>AK11*$K11</f>
        <v>1.5011824145800174</v>
      </c>
      <c r="AL25" s="47">
        <f t="shared" ref="AL25:AT25" si="3">AL11*$K11</f>
        <v>1.5011824145800174</v>
      </c>
      <c r="AM25" s="47">
        <f t="shared" si="3"/>
        <v>1.5011824145800174</v>
      </c>
      <c r="AN25" s="47">
        <f t="shared" si="3"/>
        <v>1.5011824145800174</v>
      </c>
      <c r="AO25" s="47">
        <f t="shared" si="3"/>
        <v>1.5011824145800174</v>
      </c>
      <c r="AP25" s="47">
        <f t="shared" si="3"/>
        <v>1.5011824145800174</v>
      </c>
      <c r="AQ25" s="47">
        <f t="shared" si="3"/>
        <v>1.5011824145800174</v>
      </c>
      <c r="AR25" s="47">
        <f t="shared" si="3"/>
        <v>1.5011824145800174</v>
      </c>
      <c r="AS25" s="47">
        <f t="shared" si="3"/>
        <v>1.5011824145800174</v>
      </c>
      <c r="AT25" s="47">
        <f t="shared" si="3"/>
        <v>1.5011824145800174</v>
      </c>
      <c r="AU25" s="77">
        <f>AU11*$K11</f>
        <v>1.5011824145800174</v>
      </c>
      <c r="AV25" s="47">
        <f t="shared" ref="AV25:AW25" si="4">AV11*$K11</f>
        <v>1.5011824145800174</v>
      </c>
      <c r="AW25" s="47">
        <f t="shared" si="4"/>
        <v>1.5011824145800174</v>
      </c>
      <c r="AX25" s="77">
        <f>AX11*$K11</f>
        <v>1.5011824145800174</v>
      </c>
      <c r="AY25" s="77">
        <f>AY11*$K11</f>
        <v>1.5011824145800174</v>
      </c>
      <c r="AZ25" s="2">
        <v>1</v>
      </c>
    </row>
    <row r="26" spans="3:53" x14ac:dyDescent="0.25">
      <c r="T26" s="77">
        <f>(1/1.5*T11+0.5/1.5*T12)*$K12</f>
        <v>13.004368320422822</v>
      </c>
      <c r="U26" s="77">
        <f t="shared" ref="U26:AJ26" si="5">(1/1.5*U11+0.5/1.5*U12)*$K12</f>
        <v>13.004368320422822</v>
      </c>
      <c r="V26" s="77">
        <f t="shared" si="5"/>
        <v>13.004368320422822</v>
      </c>
      <c r="W26" s="77">
        <f>(1/1.5*W11+0.5/1.5*W12)*$K12</f>
        <v>13.004368320422822</v>
      </c>
      <c r="X26" s="77">
        <f t="shared" si="5"/>
        <v>13.004368320422822</v>
      </c>
      <c r="Y26" s="77">
        <f t="shared" si="5"/>
        <v>13.004368320422822</v>
      </c>
      <c r="Z26" s="77">
        <f t="shared" si="5"/>
        <v>13.004368320422822</v>
      </c>
      <c r="AA26" s="77">
        <f t="shared" si="5"/>
        <v>13.004368320422822</v>
      </c>
      <c r="AB26" s="77">
        <f t="shared" si="5"/>
        <v>13.004368320422822</v>
      </c>
      <c r="AC26" s="77">
        <f t="shared" si="5"/>
        <v>13.004368320422822</v>
      </c>
      <c r="AD26" s="77">
        <f t="shared" si="5"/>
        <v>13.004368320422822</v>
      </c>
      <c r="AE26" s="77">
        <f t="shared" si="5"/>
        <v>13.004368320422822</v>
      </c>
      <c r="AF26" s="77">
        <f t="shared" si="5"/>
        <v>13.004368320422822</v>
      </c>
      <c r="AG26" s="77">
        <f t="shared" si="5"/>
        <v>13.004368320422822</v>
      </c>
      <c r="AH26" s="77">
        <f t="shared" si="5"/>
        <v>13.004368320422822</v>
      </c>
      <c r="AI26" s="77">
        <f t="shared" si="5"/>
        <v>13.004368320422822</v>
      </c>
      <c r="AJ26" s="77">
        <f t="shared" si="5"/>
        <v>13.004368320422822</v>
      </c>
      <c r="AK26" s="47">
        <f t="shared" ref="AK26:AT35" si="6">AK12*$K12</f>
        <v>13.004368320422824</v>
      </c>
      <c r="AL26" s="47">
        <f t="shared" si="6"/>
        <v>13.004368320422824</v>
      </c>
      <c r="AM26" s="47">
        <f t="shared" si="6"/>
        <v>13.004368320422824</v>
      </c>
      <c r="AN26" s="47">
        <f t="shared" si="6"/>
        <v>13.004368320422824</v>
      </c>
      <c r="AO26" s="47">
        <f t="shared" si="6"/>
        <v>13.004368320422824</v>
      </c>
      <c r="AP26" s="47">
        <f t="shared" si="6"/>
        <v>13.004368320422824</v>
      </c>
      <c r="AQ26" s="47">
        <f t="shared" si="6"/>
        <v>13.004368320422824</v>
      </c>
      <c r="AR26" s="47">
        <f t="shared" si="6"/>
        <v>13.004368320422824</v>
      </c>
      <c r="AS26" s="47">
        <f t="shared" si="6"/>
        <v>13.004368320422824</v>
      </c>
      <c r="AT26" s="47">
        <f t="shared" si="6"/>
        <v>13.004368320422824</v>
      </c>
      <c r="AU26" s="77">
        <f>(1/1.5*AU11+0.5/1.5*AU12)*$K12</f>
        <v>13.004368320422822</v>
      </c>
      <c r="AV26" s="47">
        <f t="shared" ref="AV26:AW26" si="7">AV12*$K12</f>
        <v>13.004368320422824</v>
      </c>
      <c r="AW26" s="47">
        <f t="shared" si="7"/>
        <v>13.004368320422824</v>
      </c>
      <c r="AX26" s="77">
        <f>(1/1.5*AX11+0.5/1.5*AX12)*$K12</f>
        <v>13.004368320422822</v>
      </c>
      <c r="AY26" s="77">
        <f>(1/1.5*AY11+0.5/1.5*AY12)*$K12</f>
        <v>13.004368320422822</v>
      </c>
      <c r="AZ26" s="2">
        <v>2</v>
      </c>
    </row>
    <row r="27" spans="3:53" x14ac:dyDescent="0.25">
      <c r="T27" s="77">
        <f>(1/2.5*T11+1/2.5*T12+0.5/2.5*T13)*$K13</f>
        <v>19.984905364249745</v>
      </c>
      <c r="U27" s="77">
        <f t="shared" ref="U27:AJ27" si="8">(1/2.5*U11+1/2.5*U12+0.5/2.5*U13)*$K13</f>
        <v>19.984905364249745</v>
      </c>
      <c r="V27" s="77">
        <f t="shared" si="8"/>
        <v>19.984905364249745</v>
      </c>
      <c r="W27" s="77">
        <f>(1/2.5*W11+1/2.5*W12+0.5/2.5*W13)*$K13</f>
        <v>19.984905364249745</v>
      </c>
      <c r="X27" s="77">
        <f t="shared" si="8"/>
        <v>19.984905364249745</v>
      </c>
      <c r="Y27" s="77">
        <f t="shared" si="8"/>
        <v>19.984905364249745</v>
      </c>
      <c r="Z27" s="77">
        <f t="shared" si="8"/>
        <v>20.392760575765045</v>
      </c>
      <c r="AA27" s="77">
        <f t="shared" si="8"/>
        <v>20.392760575765045</v>
      </c>
      <c r="AB27" s="77">
        <f t="shared" si="8"/>
        <v>20.392760575765045</v>
      </c>
      <c r="AC27" s="77">
        <f t="shared" si="8"/>
        <v>20.392760575765045</v>
      </c>
      <c r="AD27" s="77">
        <f t="shared" si="8"/>
        <v>20.392760575765045</v>
      </c>
      <c r="AE27" s="77">
        <f t="shared" si="8"/>
        <v>20.392760575765045</v>
      </c>
      <c r="AF27" s="77">
        <f t="shared" si="8"/>
        <v>20.392760575765045</v>
      </c>
      <c r="AG27" s="77">
        <f t="shared" si="8"/>
        <v>20.392760575765045</v>
      </c>
      <c r="AH27" s="77">
        <f t="shared" si="8"/>
        <v>20.392760575765045</v>
      </c>
      <c r="AI27" s="77">
        <f t="shared" si="8"/>
        <v>20.392760575765045</v>
      </c>
      <c r="AJ27" s="77">
        <f t="shared" si="8"/>
        <v>20.392760575765045</v>
      </c>
      <c r="AK27" s="47">
        <f>AK13*$K13</f>
        <v>20.392760575765045</v>
      </c>
      <c r="AL27" s="47">
        <f t="shared" si="6"/>
        <v>20.392760575765045</v>
      </c>
      <c r="AM27" s="47">
        <f t="shared" si="6"/>
        <v>20.392760575765045</v>
      </c>
      <c r="AN27" s="47">
        <f t="shared" si="6"/>
        <v>20.392760575765045</v>
      </c>
      <c r="AO27" s="47">
        <f t="shared" si="6"/>
        <v>20.392760575765045</v>
      </c>
      <c r="AP27" s="47">
        <f t="shared" si="6"/>
        <v>20.392760575765045</v>
      </c>
      <c r="AQ27" s="47">
        <f t="shared" si="6"/>
        <v>20.392760575765045</v>
      </c>
      <c r="AR27" s="47">
        <f t="shared" si="6"/>
        <v>20.392760575765045</v>
      </c>
      <c r="AS27" s="47">
        <f t="shared" si="6"/>
        <v>20.392760575765045</v>
      </c>
      <c r="AT27" s="47">
        <f t="shared" si="6"/>
        <v>20.392760575765045</v>
      </c>
      <c r="AU27" s="77">
        <f>(1/2.5*AU11+1/2.5*AU12+0.5/2.5*AU13)*$K13</f>
        <v>20.392760575765045</v>
      </c>
      <c r="AV27" s="47">
        <f t="shared" ref="AV27:AW27" si="9">AV13*$K13</f>
        <v>20.392760575765045</v>
      </c>
      <c r="AW27" s="47">
        <f t="shared" si="9"/>
        <v>20.392760575765045</v>
      </c>
      <c r="AX27" s="77">
        <f>(1/2.5*AX11+1/2.5*AX12+0.5/2.5*AX13)*$K13</f>
        <v>20.392760575765045</v>
      </c>
      <c r="AY27" s="77">
        <f>(1/2.5*AY11+1/2.5*AY12+0.5/2.5*AY13)*$K13</f>
        <v>20.392760575765045</v>
      </c>
      <c r="AZ27" s="2">
        <v>3</v>
      </c>
    </row>
    <row r="28" spans="3:53" x14ac:dyDescent="0.25">
      <c r="T28" s="77">
        <f>(1/3.5*T11+1/3.5*T12+1/3.5*T13+0.5/3.5*T14)*$K14</f>
        <v>18.249493716112891</v>
      </c>
      <c r="U28" s="77">
        <f t="shared" ref="U28:AJ28" si="10">(1/3.5*U11+1/3.5*U12+1/3.5*U13+0.5/3.5*U14)*$K14</f>
        <v>18.249493716112891</v>
      </c>
      <c r="V28" s="77">
        <f t="shared" si="10"/>
        <v>18.249493716112891</v>
      </c>
      <c r="W28" s="77">
        <f>(1/3.5*W11+1/3.5*W12+1/3.5*W13+0.5/3.5*W14)*$K14</f>
        <v>18.249493716112891</v>
      </c>
      <c r="X28" s="77">
        <f t="shared" si="10"/>
        <v>18.249493716112891</v>
      </c>
      <c r="Y28" s="77">
        <f t="shared" si="10"/>
        <v>18.249493716112891</v>
      </c>
      <c r="Z28" s="77">
        <f t="shared" si="10"/>
        <v>19.224657502470073</v>
      </c>
      <c r="AA28" s="77">
        <f t="shared" si="10"/>
        <v>19.224657502470073</v>
      </c>
      <c r="AB28" s="77">
        <f t="shared" si="10"/>
        <v>19.224657502470073</v>
      </c>
      <c r="AC28" s="77">
        <f t="shared" si="10"/>
        <v>19.224657502470073</v>
      </c>
      <c r="AD28" s="77">
        <f t="shared" si="10"/>
        <v>19.224657502470073</v>
      </c>
      <c r="AE28" s="77">
        <f t="shared" si="10"/>
        <v>19.224657502470073</v>
      </c>
      <c r="AF28" s="77">
        <f t="shared" si="10"/>
        <v>19.224657502470073</v>
      </c>
      <c r="AG28" s="77">
        <f t="shared" si="10"/>
        <v>19.503275727143553</v>
      </c>
      <c r="AH28" s="77">
        <f t="shared" si="10"/>
        <v>19.503275727143553</v>
      </c>
      <c r="AI28" s="77">
        <f t="shared" si="10"/>
        <v>19.503275727143553</v>
      </c>
      <c r="AJ28" s="77">
        <f t="shared" si="10"/>
        <v>19.224657502470073</v>
      </c>
      <c r="AK28" s="47">
        <f t="shared" si="6"/>
        <v>7.8013102908574208</v>
      </c>
      <c r="AL28" s="47">
        <f t="shared" si="6"/>
        <v>7.8013102908574208</v>
      </c>
      <c r="AM28" s="47">
        <f t="shared" si="6"/>
        <v>18.528111940786374</v>
      </c>
      <c r="AN28" s="47">
        <f t="shared" si="6"/>
        <v>18.528111940786374</v>
      </c>
      <c r="AO28" s="47">
        <f t="shared" si="6"/>
        <v>18.528111940786374</v>
      </c>
      <c r="AP28" s="47">
        <f t="shared" si="6"/>
        <v>18.528111940786374</v>
      </c>
      <c r="AQ28" s="47">
        <f t="shared" si="6"/>
        <v>18.528111940786374</v>
      </c>
      <c r="AR28" s="47">
        <f t="shared" si="6"/>
        <v>18.918177455329246</v>
      </c>
      <c r="AS28" s="47">
        <f t="shared" si="6"/>
        <v>19.503275727143553</v>
      </c>
      <c r="AT28" s="47">
        <f t="shared" si="6"/>
        <v>19.503275727143553</v>
      </c>
      <c r="AU28" s="77">
        <f>(1/3.5*AU11+1/3.5*AU12+1/3.5*AU13+0.5/3.5*AU14)*$K14</f>
        <v>19.503275727143553</v>
      </c>
      <c r="AV28" s="47">
        <f t="shared" ref="AV28:AW28" si="11">AV14*$K14</f>
        <v>19.503275727143553</v>
      </c>
      <c r="AW28" s="47">
        <f t="shared" si="11"/>
        <v>19.503275727143553</v>
      </c>
      <c r="AX28" s="77">
        <f>(1/3.5*AX11+1/3.5*AX12+1/3.5*AX13+0.5/3.5*AX14)*$K14</f>
        <v>19.503275727143553</v>
      </c>
      <c r="AY28" s="77">
        <f>(1/3.5*AY11+1/3.5*AY12+1/3.5*AY13+0.5/3.5*AY14)*$K14</f>
        <v>19.503275727143553</v>
      </c>
      <c r="AZ28" s="2">
        <v>4</v>
      </c>
    </row>
    <row r="29" spans="3:53" x14ac:dyDescent="0.25">
      <c r="T29" s="77">
        <f>(1/4.5*T11+1/4.5*T12+1/4.5*T13+1/4.5*T14+0.5/4.5*T15)*$K15</f>
        <v>14.23940070190487</v>
      </c>
      <c r="U29" s="77">
        <f t="shared" ref="U29:AJ29" si="12">(1/4.5*U11+1/4.5*U12+1/4.5*U13+1/4.5*U14+0.5/4.5*U15)*$K15</f>
        <v>14.23940070190487</v>
      </c>
      <c r="V29" s="77">
        <f t="shared" si="12"/>
        <v>14.23940070190487</v>
      </c>
      <c r="W29" s="77">
        <f t="shared" si="12"/>
        <v>14.23940070190487</v>
      </c>
      <c r="X29" s="77">
        <f t="shared" si="12"/>
        <v>14.23940070190487</v>
      </c>
      <c r="Y29" s="77">
        <f t="shared" si="12"/>
        <v>14.23940070190487</v>
      </c>
      <c r="Z29" s="77">
        <f t="shared" si="12"/>
        <v>15.389165975971721</v>
      </c>
      <c r="AA29" s="77">
        <f t="shared" si="12"/>
        <v>15.389165975971721</v>
      </c>
      <c r="AB29" s="77">
        <f t="shared" si="12"/>
        <v>15.389165975971721</v>
      </c>
      <c r="AC29" s="77">
        <f t="shared" si="12"/>
        <v>15.389165975971721</v>
      </c>
      <c r="AD29" s="77">
        <f t="shared" si="12"/>
        <v>15.389165975971721</v>
      </c>
      <c r="AE29" s="77">
        <f t="shared" si="12"/>
        <v>15.389165975971721</v>
      </c>
      <c r="AF29" s="77">
        <f t="shared" si="12"/>
        <v>15.389165975971721</v>
      </c>
      <c r="AG29" s="77">
        <f t="shared" si="12"/>
        <v>15.919826871694887</v>
      </c>
      <c r="AH29" s="77">
        <f t="shared" si="12"/>
        <v>15.919826871694887</v>
      </c>
      <c r="AI29" s="77">
        <f t="shared" si="12"/>
        <v>15.919826871694887</v>
      </c>
      <c r="AJ29" s="77">
        <f t="shared" si="12"/>
        <v>15.389165975971721</v>
      </c>
      <c r="AK29" s="47">
        <f t="shared" si="6"/>
        <v>3.1839653743389773</v>
      </c>
      <c r="AL29" s="47">
        <f t="shared" si="6"/>
        <v>3.1839653743389773</v>
      </c>
      <c r="AM29" s="47">
        <f t="shared" si="6"/>
        <v>11.939870153771166</v>
      </c>
      <c r="AN29" s="47">
        <f t="shared" si="6"/>
        <v>11.939870153771166</v>
      </c>
      <c r="AO29" s="47">
        <f t="shared" si="6"/>
        <v>11.939870153771166</v>
      </c>
      <c r="AP29" s="47">
        <f t="shared" si="6"/>
        <v>11.939870153771166</v>
      </c>
      <c r="AQ29" s="47">
        <f t="shared" si="6"/>
        <v>11.939870153771166</v>
      </c>
      <c r="AR29" s="47">
        <f t="shared" si="6"/>
        <v>12.258266691205062</v>
      </c>
      <c r="AS29" s="47">
        <f t="shared" si="6"/>
        <v>12.258266691205062</v>
      </c>
      <c r="AT29" s="47">
        <f t="shared" si="6"/>
        <v>12.258266691205062</v>
      </c>
      <c r="AU29" s="77">
        <f>(1/4.5*AU11+1/4.5*AU12+1/4.5*AU13+1/4.5*AU14+0.5/4.5*AU15)*$K15</f>
        <v>15.742939906453831</v>
      </c>
      <c r="AV29" s="47">
        <f t="shared" ref="AV29:AW29" si="13">AV15*$K15</f>
        <v>13.531852840940653</v>
      </c>
      <c r="AW29" s="47">
        <f t="shared" si="13"/>
        <v>13.531852840940653</v>
      </c>
      <c r="AX29" s="77">
        <f>(1/4.5*AX11+1/4.5*AX12+1/4.5*AX13+1/4.5*AX14+0.5/4.5*AX15)*$K15</f>
        <v>15.742939906453831</v>
      </c>
      <c r="AY29" s="77">
        <f>(1/4.5*AY11+1/4.5*AY12+1/4.5*AY13+1/4.5*AY14+0.5/4.5*AY15)*$K15</f>
        <v>15.742939906453831</v>
      </c>
      <c r="AZ29" s="2">
        <v>5</v>
      </c>
    </row>
    <row r="30" spans="3:53" x14ac:dyDescent="0.25">
      <c r="T30" s="77">
        <f>(1/5.5*T11+1/5.5*T12+1/5.5*T13+1/5.5*T14+1/5.5*T15+0.5/5.5*T16)*$K16</f>
        <v>8.0969683926943681</v>
      </c>
      <c r="U30" s="77">
        <f t="shared" ref="U30:AJ30" si="14">(1/5.5*U11+1/5.5*U12+1/5.5*U13+1/5.5*U14+1/5.5*U15+0.5/5.5*U16)*$K16</f>
        <v>8.0969683926943681</v>
      </c>
      <c r="V30" s="77">
        <f t="shared" si="14"/>
        <v>8.0969683926943681</v>
      </c>
      <c r="W30" s="77">
        <v>0</v>
      </c>
      <c r="X30" s="77">
        <f t="shared" si="14"/>
        <v>7.7154358506302358</v>
      </c>
      <c r="Y30" s="77">
        <f t="shared" si="14"/>
        <v>7.7154358506302358</v>
      </c>
      <c r="Z30" s="77">
        <f t="shared" si="14"/>
        <v>8.7752484674750448</v>
      </c>
      <c r="AA30" s="77">
        <f t="shared" si="14"/>
        <v>8.7752484674750448</v>
      </c>
      <c r="AB30" s="77">
        <f t="shared" si="14"/>
        <v>8.7752484674750448</v>
      </c>
      <c r="AC30" s="77">
        <f t="shared" si="14"/>
        <v>8.7752484674750448</v>
      </c>
      <c r="AD30" s="77">
        <f t="shared" si="14"/>
        <v>8.7752484674750448</v>
      </c>
      <c r="AE30" s="77">
        <f t="shared" si="14"/>
        <v>8.7752484674750448</v>
      </c>
      <c r="AF30" s="77">
        <f t="shared" si="14"/>
        <v>8.7752484674750448</v>
      </c>
      <c r="AG30" s="77">
        <f t="shared" si="14"/>
        <v>9.1143885048653868</v>
      </c>
      <c r="AH30" s="77">
        <f t="shared" si="14"/>
        <v>9.1143885048653868</v>
      </c>
      <c r="AI30" s="77">
        <f t="shared" si="14"/>
        <v>9.1143885048653868</v>
      </c>
      <c r="AJ30" s="77">
        <f t="shared" si="14"/>
        <v>8.7752484674750448</v>
      </c>
      <c r="AK30" s="47">
        <f t="shared" si="6"/>
        <v>0.93263510282343487</v>
      </c>
      <c r="AL30" s="47">
        <f t="shared" si="6"/>
        <v>0.93263510282343487</v>
      </c>
      <c r="AM30" s="47">
        <f t="shared" si="6"/>
        <v>4.6631755141171745</v>
      </c>
      <c r="AN30" s="47">
        <f t="shared" si="6"/>
        <v>4.6631755141171745</v>
      </c>
      <c r="AO30" s="47">
        <f t="shared" si="6"/>
        <v>4.6631755141171745</v>
      </c>
      <c r="AP30" s="47">
        <f t="shared" si="6"/>
        <v>4.6631755141171745</v>
      </c>
      <c r="AQ30" s="47">
        <f t="shared" si="6"/>
        <v>4.6631755141171745</v>
      </c>
      <c r="AR30" s="47">
        <f t="shared" si="6"/>
        <v>4.8497025346818612</v>
      </c>
      <c r="AS30" s="47">
        <f t="shared" si="6"/>
        <v>4.8497025346818612</v>
      </c>
      <c r="AT30" s="47">
        <f t="shared" si="6"/>
        <v>4.8497025346818612</v>
      </c>
      <c r="AU30" s="77">
        <f>(1/5.5*AU11+1/5.5*AU12+1/5.5*AU13+1/5.5*AU14+1/5.5*AU15+0.5/5.5*AU16)*$K16</f>
        <v>8.9448184861702167</v>
      </c>
      <c r="AV30" s="47">
        <f t="shared" ref="AV30:AW30" si="15">AV16*$K16</f>
        <v>4.942966044964205</v>
      </c>
      <c r="AW30" s="47">
        <f t="shared" si="15"/>
        <v>4.942966044964205</v>
      </c>
      <c r="AX30" s="77">
        <f>(1/5.5*AX11+1/5.5*AX12+1/5.5*AX13+1/5.5*AX14+1/5.5*AX15+0.5/5.5*AX16)*$K16</f>
        <v>8.9448184861702167</v>
      </c>
      <c r="AY30" s="77">
        <f>(1/5.5*AY11+1/5.5*AY12+1/5.5*AY13+1/5.5*AY14+1/5.5*AY15+0.5/5.5*AY16)*$K16</f>
        <v>8.9448184861702167</v>
      </c>
      <c r="AZ30" s="2">
        <v>6</v>
      </c>
    </row>
    <row r="31" spans="3:53" x14ac:dyDescent="0.25">
      <c r="T31" s="77">
        <f>(1/6.5*T11+1/6.5*T12+1/6.5*T13+1/6.5*T14+1/6.5*T15+1/6.5*T16+0.5/6.5*T17)*$K17</f>
        <v>4.686716359359643</v>
      </c>
      <c r="U31" s="77">
        <f t="shared" ref="U31:AJ31" si="16">(1/6.5*U11+1/6.5*U12+1/6.5*U13+1/6.5*U14+1/6.5*U15+1/6.5*U16+0.5/6.5*U17)*$K17</f>
        <v>4.686716359359643</v>
      </c>
      <c r="V31" s="77">
        <f t="shared" si="16"/>
        <v>4.686716359359643</v>
      </c>
      <c r="W31" s="77">
        <v>0</v>
      </c>
      <c r="X31" s="77">
        <f t="shared" si="16"/>
        <v>4.1141311027862928</v>
      </c>
      <c r="Y31" s="77">
        <f t="shared" si="16"/>
        <v>4.1141311027862928</v>
      </c>
      <c r="Z31" s="77">
        <f t="shared" si="16"/>
        <v>5.0260261410327391</v>
      </c>
      <c r="AA31" s="77">
        <f t="shared" si="16"/>
        <v>5.0260261410327391</v>
      </c>
      <c r="AB31" s="77">
        <f t="shared" si="16"/>
        <v>5.0260261410327391</v>
      </c>
      <c r="AC31" s="77">
        <f t="shared" si="16"/>
        <v>5.0260261410327391</v>
      </c>
      <c r="AD31" s="77">
        <f t="shared" si="16"/>
        <v>5.0260261410327391</v>
      </c>
      <c r="AE31" s="77">
        <f t="shared" si="16"/>
        <v>5.0260261410327391</v>
      </c>
      <c r="AF31" s="77">
        <f t="shared" si="16"/>
        <v>5.0260261410327391</v>
      </c>
      <c r="AG31" s="77">
        <f t="shared" si="16"/>
        <v>5.1956810318692872</v>
      </c>
      <c r="AH31" s="77">
        <f t="shared" si="16"/>
        <v>5.1956810318692872</v>
      </c>
      <c r="AI31" s="77">
        <f t="shared" si="16"/>
        <v>5.1956810318692872</v>
      </c>
      <c r="AJ31" s="77">
        <f t="shared" si="16"/>
        <v>5.0260261410327391</v>
      </c>
      <c r="AK31" s="47">
        <f t="shared" si="6"/>
        <v>0</v>
      </c>
      <c r="AL31" s="47">
        <f t="shared" si="6"/>
        <v>0</v>
      </c>
      <c r="AM31" s="47">
        <f t="shared" si="6"/>
        <v>2.2055135808751261</v>
      </c>
      <c r="AN31" s="47">
        <f t="shared" si="6"/>
        <v>2.481202778484517</v>
      </c>
      <c r="AO31" s="47">
        <f t="shared" si="6"/>
        <v>2.481202778484517</v>
      </c>
      <c r="AP31" s="47">
        <f t="shared" si="6"/>
        <v>2.481202778484517</v>
      </c>
      <c r="AQ31" s="47">
        <f t="shared" si="6"/>
        <v>2.481202778484517</v>
      </c>
      <c r="AR31" s="47">
        <f t="shared" si="6"/>
        <v>2.591478457528273</v>
      </c>
      <c r="AS31" s="47">
        <f t="shared" si="6"/>
        <v>2.591478457528273</v>
      </c>
      <c r="AT31" s="47">
        <f t="shared" si="6"/>
        <v>2.591478457528273</v>
      </c>
      <c r="AU31" s="77">
        <f>(1/6.5*AU11+1/6.5*AU12+1/6.5*AU13+1/6.5*AU14+1/6.5*AU15+1/6.5*AU16+0.5/6.5*AU17)*$K17</f>
        <v>5.1108535864510136</v>
      </c>
      <c r="AV31" s="47">
        <f t="shared" ref="AV31:AW31" si="17">AV17*$K17</f>
        <v>2.591478457528273</v>
      </c>
      <c r="AW31" s="47">
        <f t="shared" si="17"/>
        <v>2.591478457528273</v>
      </c>
      <c r="AX31" s="77">
        <f>(1/6.5*AX11+1/6.5*AX12+1/6.5*AX13+1/6.5*AX14+1/6.5*AX15+1/6.5*AX16+0.5/6.5*AX17)*$K17</f>
        <v>5.1108535864510136</v>
      </c>
      <c r="AY31" s="77">
        <f>(1/6.5*AY11+1/6.5*AY12+1/6.5*AY13+1/6.5*AY14+1/6.5*AY15+1/6.5*AY16+0.5/6.5*AY17)*$K17</f>
        <v>5.1108535864510136</v>
      </c>
      <c r="AZ31" s="2">
        <v>7</v>
      </c>
    </row>
    <row r="32" spans="3:53" x14ac:dyDescent="0.25">
      <c r="T32" s="77">
        <f>(1/7.5*T11+1/7.5*T12+1/7.5*T13+1/7.5*T14+1/7.5*T15+1/7.5*T16+1/7.5*T17+0.5/7.5*T18)*$K18</f>
        <v>2.784432074183544</v>
      </c>
      <c r="U32" s="77">
        <f t="shared" ref="U32:AJ32" si="18">(1/7.5*U11+1/7.5*U12+1/7.5*U13+1/7.5*U14+1/7.5*U15+1/7.5*U16+1/7.5*U17+0.5/7.5*U18)*$K18</f>
        <v>2.784432074183544</v>
      </c>
      <c r="V32" s="77">
        <f t="shared" si="18"/>
        <v>2.784432074183544</v>
      </c>
      <c r="W32" s="77">
        <v>0</v>
      </c>
      <c r="X32" s="77">
        <f t="shared" si="18"/>
        <v>2.2852311047084064</v>
      </c>
      <c r="Y32" s="77">
        <f t="shared" si="18"/>
        <v>2.2852311047084064</v>
      </c>
      <c r="Z32" s="77">
        <f t="shared" si="18"/>
        <v>2.9619257522191482</v>
      </c>
      <c r="AA32" s="77">
        <f t="shared" si="18"/>
        <v>2.9619257522191482</v>
      </c>
      <c r="AB32" s="77">
        <f t="shared" si="18"/>
        <v>2.9619257522191482</v>
      </c>
      <c r="AC32" s="77">
        <f t="shared" si="18"/>
        <v>2.9619257522191482</v>
      </c>
      <c r="AD32" s="77">
        <f t="shared" si="18"/>
        <v>2.9619257522191482</v>
      </c>
      <c r="AE32" s="77">
        <f t="shared" si="18"/>
        <v>2.9619257522191482</v>
      </c>
      <c r="AF32" s="77">
        <f t="shared" si="18"/>
        <v>2.9619257522191482</v>
      </c>
      <c r="AG32" s="77">
        <f t="shared" si="18"/>
        <v>3.0506725912369506</v>
      </c>
      <c r="AH32" s="77">
        <f t="shared" si="18"/>
        <v>3.0506725912369506</v>
      </c>
      <c r="AI32" s="77">
        <f t="shared" si="18"/>
        <v>3.0506725912369506</v>
      </c>
      <c r="AJ32" s="77">
        <f t="shared" si="18"/>
        <v>2.9619257522191482</v>
      </c>
      <c r="AK32" s="47">
        <f t="shared" si="6"/>
        <v>0</v>
      </c>
      <c r="AL32" s="47">
        <f t="shared" si="6"/>
        <v>0</v>
      </c>
      <c r="AM32" s="47">
        <f t="shared" si="6"/>
        <v>0</v>
      </c>
      <c r="AN32" s="47">
        <f t="shared" si="6"/>
        <v>1.4976029084254119</v>
      </c>
      <c r="AO32" s="47">
        <f t="shared" si="6"/>
        <v>1.4976029084254119</v>
      </c>
      <c r="AP32" s="47">
        <f t="shared" si="6"/>
        <v>1.4976029084254119</v>
      </c>
      <c r="AQ32" s="47">
        <f t="shared" si="6"/>
        <v>1.4976029084254119</v>
      </c>
      <c r="AR32" s="47">
        <f t="shared" si="6"/>
        <v>1.5641630376887636</v>
      </c>
      <c r="AS32" s="47">
        <f t="shared" si="6"/>
        <v>1.5641630376887636</v>
      </c>
      <c r="AT32" s="47">
        <f t="shared" si="6"/>
        <v>1.5641630376887636</v>
      </c>
      <c r="AU32" s="77">
        <f>(1/7.5*AU11+1/7.5*AU12+1/7.5*AU13+1/7.5*AU14+1/7.5*AU15+1/7.5*AU16+1/7.5*AU17+0.5/7.5*AU18)*$K18</f>
        <v>3.0062991717280494</v>
      </c>
      <c r="AV32" s="47">
        <f t="shared" ref="AV32:AW32" si="19">AV18*$K18</f>
        <v>1.5641630376887636</v>
      </c>
      <c r="AW32" s="47">
        <f t="shared" si="19"/>
        <v>1.5641630376887636</v>
      </c>
      <c r="AX32" s="77">
        <f>(1/7.5*AX11+1/7.5*AX12+1/7.5*AX13+1/7.5*AX14+1/7.5*AX15+1/7.5*AX16+1/7.5*AX17+0.5/7.5*AX18)*$K18</f>
        <v>3.0062991717280494</v>
      </c>
      <c r="AY32" s="77">
        <f>(1/7.5*AY11+1/7.5*AY12+1/7.5*AY13+1/7.5*AY14+1/7.5*AY15+1/7.5*AY16+1/7.5*AY17+0.5/7.5*AY18)*$K18</f>
        <v>3.0062991717280494</v>
      </c>
      <c r="AZ32" s="2">
        <v>8</v>
      </c>
    </row>
    <row r="33" spans="8:52" x14ac:dyDescent="0.25">
      <c r="T33" s="77">
        <f>(1/8.5*T11+1/8.5*T12+1/8.5*T13+1/8.5*T14+1/8.5*T15+1/8.5*T16+1/8.5*T17+1/8.5*T18+0.5/8.5*T19)*$K19</f>
        <v>1.8828165225341946</v>
      </c>
      <c r="U33" s="77">
        <f t="shared" ref="U33:AJ33" si="20">(1/8.5*U11+1/8.5*U12+1/8.5*U13+1/8.5*U14+1/8.5*U15+1/8.5*U16+1/8.5*U17+1/8.5*U18+0.5/8.5*U19)*$K19</f>
        <v>1.8828165225341946</v>
      </c>
      <c r="V33" s="77">
        <f t="shared" si="20"/>
        <v>1.8828165225341946</v>
      </c>
      <c r="W33" s="77">
        <v>0</v>
      </c>
      <c r="X33" s="77">
        <f t="shared" si="20"/>
        <v>1.4204879102393213</v>
      </c>
      <c r="Y33" s="77">
        <f t="shared" si="20"/>
        <v>1.4204879102393213</v>
      </c>
      <c r="Z33" s="77">
        <f t="shared" si="20"/>
        <v>1.9900231572692375</v>
      </c>
      <c r="AA33" s="77">
        <f t="shared" si="20"/>
        <v>1.9900231572692375</v>
      </c>
      <c r="AB33" s="77">
        <f t="shared" si="20"/>
        <v>1.9900231572692375</v>
      </c>
      <c r="AC33" s="77">
        <f t="shared" si="20"/>
        <v>1.9900231572692375</v>
      </c>
      <c r="AD33" s="77">
        <f t="shared" si="20"/>
        <v>1.9900231572692375</v>
      </c>
      <c r="AE33" s="77">
        <f t="shared" si="20"/>
        <v>1.9900231572692375</v>
      </c>
      <c r="AF33" s="77">
        <f t="shared" si="20"/>
        <v>1.9900231572692375</v>
      </c>
      <c r="AG33" s="77">
        <v>0</v>
      </c>
      <c r="AH33" s="77">
        <f t="shared" si="20"/>
        <v>2.0436264746367589</v>
      </c>
      <c r="AI33" s="77">
        <f t="shared" si="20"/>
        <v>2.0436264746367589</v>
      </c>
      <c r="AJ33" s="77">
        <f t="shared" si="20"/>
        <v>1.9900231572692375</v>
      </c>
      <c r="AK33" s="47">
        <f t="shared" si="6"/>
        <v>0</v>
      </c>
      <c r="AL33" s="47">
        <f t="shared" si="6"/>
        <v>0</v>
      </c>
      <c r="AM33" s="47">
        <f t="shared" si="6"/>
        <v>0</v>
      </c>
      <c r="AN33" s="47">
        <f t="shared" si="6"/>
        <v>1.0251634446538498</v>
      </c>
      <c r="AO33" s="47">
        <f t="shared" si="6"/>
        <v>1.0251634446538498</v>
      </c>
      <c r="AP33" s="47">
        <f t="shared" si="6"/>
        <v>1.0251634446538498</v>
      </c>
      <c r="AQ33" s="47">
        <f t="shared" si="6"/>
        <v>1.0251634446538498</v>
      </c>
      <c r="AR33" s="47">
        <f t="shared" si="6"/>
        <v>1.0251634446538498</v>
      </c>
      <c r="AS33" s="47">
        <f t="shared" si="6"/>
        <v>1.0251634446538498</v>
      </c>
      <c r="AT33" s="47">
        <f t="shared" si="6"/>
        <v>1.0251634446538498</v>
      </c>
      <c r="AU33" s="77">
        <f>(1/8.5*AU11+1/8.5*AU12+1/8.5*AU13+1/8.5*AU14+1/8.5*AU15+1/8.5*AU16+1/8.5*AU17+1/8.5*AU18+0.5/8.5*AU19)*$K19</f>
        <v>2.0168248159529982</v>
      </c>
      <c r="AV33" s="47">
        <f t="shared" ref="AV33:AW33" si="21">AV19*$K19</f>
        <v>0.8429121656042764</v>
      </c>
      <c r="AW33" s="47">
        <f t="shared" si="21"/>
        <v>0.8429121656042764</v>
      </c>
      <c r="AX33" s="77">
        <f>(1/8.5*AX11+1/8.5*AX12+1/8.5*AX13+1/8.5*AX14+1/8.5*AX15+1/8.5*AX16+1/8.5*AX17+1/8.5*AX18+0.5/8.5*AX19)*$K19</f>
        <v>2.0168248159529982</v>
      </c>
      <c r="AY33" s="77">
        <f>(1/8.5*AY11+1/8.5*AY12+1/8.5*AY13+1/8.5*AY14+1/8.5*AY15+1/8.5*AY16+1/8.5*AY17+1/8.5*AY18+0.5/8.5*AY19)*$K19</f>
        <v>2.0168248159529982</v>
      </c>
      <c r="AZ33" s="2">
        <v>9</v>
      </c>
    </row>
    <row r="34" spans="8:52" x14ac:dyDescent="0.25">
      <c r="T34" s="77">
        <f>(1/9.5*T11+1/9.5*T12+1/9.5*T13+1/9.5*T14+1/9.5*T15+1/9.5*T16+1/9.5*T17+1/9.5*T18+1/9.5*T19+0.5/9.5*T20)*$K20</f>
        <v>1.499435028693838</v>
      </c>
      <c r="U34" s="77">
        <f t="shared" ref="U34:AJ34" si="22">(1/9.5*U11+1/9.5*U12+1/9.5*U13+1/9.5*U14+1/9.5*U15+1/9.5*U16+1/9.5*U17+1/9.5*U18+1/9.5*U19+0.5/9.5*U20)*$K20</f>
        <v>1.499435028693838</v>
      </c>
      <c r="V34" s="77">
        <f t="shared" si="22"/>
        <v>1.499435028693838</v>
      </c>
      <c r="W34" s="77">
        <v>0</v>
      </c>
      <c r="X34" s="77">
        <f t="shared" si="22"/>
        <v>1.0221229134504619</v>
      </c>
      <c r="Y34" s="77">
        <f t="shared" si="22"/>
        <v>1.0221229134504619</v>
      </c>
      <c r="Z34" s="77">
        <f t="shared" si="22"/>
        <v>1.5765763806523638</v>
      </c>
      <c r="AA34" s="77">
        <f t="shared" si="22"/>
        <v>1.5765763806523638</v>
      </c>
      <c r="AB34" s="77">
        <f t="shared" si="22"/>
        <v>1.5765763806523638</v>
      </c>
      <c r="AC34" s="77">
        <f t="shared" si="22"/>
        <v>1.5765763806523638</v>
      </c>
      <c r="AD34" s="77">
        <f t="shared" si="22"/>
        <v>1.5765763806523638</v>
      </c>
      <c r="AE34" s="77">
        <f t="shared" si="22"/>
        <v>1.5765763806523638</v>
      </c>
      <c r="AF34" s="77">
        <f t="shared" si="22"/>
        <v>1.5765763806523638</v>
      </c>
      <c r="AG34" s="77">
        <v>0</v>
      </c>
      <c r="AH34" s="77">
        <f t="shared" si="22"/>
        <v>1.6151470566316266</v>
      </c>
      <c r="AI34" s="77">
        <f t="shared" si="22"/>
        <v>1.6151470566316266</v>
      </c>
      <c r="AJ34" s="77">
        <f t="shared" si="22"/>
        <v>1.5765763806523638</v>
      </c>
      <c r="AK34" s="47">
        <f t="shared" si="6"/>
        <v>0</v>
      </c>
      <c r="AL34" s="47">
        <f t="shared" si="6"/>
        <v>0</v>
      </c>
      <c r="AM34" s="47">
        <f t="shared" si="6"/>
        <v>0</v>
      </c>
      <c r="AN34" s="47">
        <f t="shared" si="6"/>
        <v>0.82444819905674083</v>
      </c>
      <c r="AO34" s="47">
        <f t="shared" si="6"/>
        <v>0.82444819905674083</v>
      </c>
      <c r="AP34" s="47">
        <f t="shared" si="6"/>
        <v>0.82444819905674083</v>
      </c>
      <c r="AQ34" s="47">
        <f t="shared" si="6"/>
        <v>0.82444819905674083</v>
      </c>
      <c r="AR34" s="47">
        <f t="shared" si="6"/>
        <v>0.73284284360599183</v>
      </c>
      <c r="AS34" s="47">
        <f t="shared" si="6"/>
        <v>0.73284284360599183</v>
      </c>
      <c r="AT34" s="47">
        <f t="shared" si="6"/>
        <v>0.73284284360599183</v>
      </c>
      <c r="AU34" s="77">
        <f>(1/9.5*AU11+1/9.5*AU12+1/9.5*AU13+1/9.5*AU14+1/9.5*AU15+1/9.5*AU16+1/9.5*AU17+1/9.5*AU18+1/9.5*AU19+0.5/9.5*AU20)*$K20</f>
        <v>1.5958617186419952</v>
      </c>
      <c r="AV34" s="47">
        <f t="shared" ref="AV34:AW34" si="23">AV20*$K20</f>
        <v>0.67787963033554244</v>
      </c>
      <c r="AW34" s="47">
        <f t="shared" si="23"/>
        <v>0.67787963033554244</v>
      </c>
      <c r="AX34" s="77">
        <f>(1/9.5*AX11+1/9.5*AX12+1/9.5*AX13+1/9.5*AX14+1/9.5*AX15+1/9.5*AX16+1/9.5*AX17+1/9.5*AX18+1/9.5*AX19+0.5/9.5*AX20)*$K20</f>
        <v>1.5958617186419952</v>
      </c>
      <c r="AY34" s="77">
        <f>(1/9.5*AY11+1/9.5*AY12+1/9.5*AY13+1/9.5*AY14+1/9.5*AY15+1/9.5*AY16+1/9.5*AY17+1/9.5*AY18+1/9.5*AY19+0.5/9.5*AY20)*$K20</f>
        <v>1.5958617186419952</v>
      </c>
      <c r="AZ34" s="2">
        <v>10</v>
      </c>
    </row>
    <row r="35" spans="8:52" x14ac:dyDescent="0.25">
      <c r="T35" s="77">
        <f>(1/10.5*T11+1/10.5*T12+1/10.5*T13+1/10.5*T14+1/10.5*T15+1/10.5*T16+1/10.5*T17+1/10.5*T18+1/10.5*T19+1/10.5*T20+0.5/10.5*T21)*$K21</f>
        <v>6.0082548177076749</v>
      </c>
      <c r="U35" s="77">
        <f t="shared" ref="U35:AJ35" si="24">(1/10.5*U11+1/10.5*U12+1/10.5*U13+1/10.5*U14+1/10.5*U15+1/10.5*U16+1/10.5*U17+1/10.5*U18+1/10.5*U19+1/10.5*U20+0.5/10.5*U21)*$K21</f>
        <v>6.0082548177076749</v>
      </c>
      <c r="V35" s="77">
        <f t="shared" si="24"/>
        <v>6.0082548177076749</v>
      </c>
      <c r="W35" s="77">
        <v>0</v>
      </c>
      <c r="X35" s="77">
        <f t="shared" si="24"/>
        <v>3.7353373060235402</v>
      </c>
      <c r="Y35" s="77">
        <f t="shared" si="24"/>
        <v>3.7353373060235402</v>
      </c>
      <c r="Z35" s="77">
        <f t="shared" si="24"/>
        <v>6.2901670672188859</v>
      </c>
      <c r="AA35" s="77">
        <f t="shared" si="24"/>
        <v>6.2901670672188859</v>
      </c>
      <c r="AB35" s="77">
        <f t="shared" si="24"/>
        <v>6.2901670672188859</v>
      </c>
      <c r="AC35" s="77">
        <f t="shared" si="24"/>
        <v>6.2901670672188859</v>
      </c>
      <c r="AD35" s="77">
        <f t="shared" si="24"/>
        <v>6.2901670672188859</v>
      </c>
      <c r="AE35" s="77">
        <f t="shared" si="24"/>
        <v>6.2901670672188859</v>
      </c>
      <c r="AF35" s="77">
        <f t="shared" si="24"/>
        <v>6.2901670672188859</v>
      </c>
      <c r="AG35" s="77">
        <v>0</v>
      </c>
      <c r="AH35" s="77">
        <f t="shared" si="24"/>
        <v>6.4311231919744918</v>
      </c>
      <c r="AI35" s="77">
        <f t="shared" si="24"/>
        <v>6.4311231919744918</v>
      </c>
      <c r="AJ35" s="77">
        <f t="shared" si="24"/>
        <v>6.2901670672188859</v>
      </c>
      <c r="AK35" s="47">
        <f t="shared" si="6"/>
        <v>0</v>
      </c>
      <c r="AL35" s="47">
        <f t="shared" si="6"/>
        <v>0</v>
      </c>
      <c r="AM35" s="47">
        <f t="shared" si="6"/>
        <v>0</v>
      </c>
      <c r="AN35" s="47">
        <f t="shared" si="6"/>
        <v>3.330088447351176</v>
      </c>
      <c r="AO35" s="47">
        <f t="shared" si="6"/>
        <v>3.330088447351176</v>
      </c>
      <c r="AP35" s="47">
        <f t="shared" si="6"/>
        <v>3.330088447351176</v>
      </c>
      <c r="AQ35" s="47">
        <f t="shared" si="6"/>
        <v>3.330088447351176</v>
      </c>
      <c r="AR35" s="47">
        <f t="shared" si="6"/>
        <v>2.960078619867712</v>
      </c>
      <c r="AS35" s="47">
        <f t="shared" si="6"/>
        <v>2.960078619867712</v>
      </c>
      <c r="AT35" s="47">
        <f t="shared" si="6"/>
        <v>2.960078619867712</v>
      </c>
      <c r="AU35" s="77">
        <f>(1/10.5*AU11+1/10.5*AU12+1/10.5*AU13+1/10.5*AU14+1/10.5*AU15+1/10.5*AU16+1/10.5*AU17+1/10.5*AU18+1/10.5*AU19+1/10.5*AU20+0.5/10.5*AU21)*$K21</f>
        <v>6.3606451295966897</v>
      </c>
      <c r="AV35" s="47">
        <f t="shared" ref="AV35:AW35" si="25">AV21*$K21</f>
        <v>2.3680628958941696</v>
      </c>
      <c r="AW35" s="47">
        <f t="shared" si="25"/>
        <v>1.6280432409272416</v>
      </c>
      <c r="AX35" s="77">
        <f>(1/10.5*AX11+1/10.5*AX12+1/10.5*AX13+1/10.5*AX14+1/10.5*AX15+1/10.5*AX16+1/10.5*AX17+1/10.5*AX18+1/10.5*AX19+1/10.5*AX20+0.5/10.5*AX21)*$K21</f>
        <v>6.3606451295966897</v>
      </c>
      <c r="AY35" s="77">
        <f>(1/10.5*AY11+1/10.5*AY12+1/10.5*AY13+1/10.5*AY14+1/10.5*AY15+1/10.5*AY16+1/10.5*AY17+1/10.5*AY18+1/10.5*AY19+1/10.5*AY20+0.5/10.5*AY21)*$K21</f>
        <v>6.3606451295966897</v>
      </c>
      <c r="AZ35" s="58" t="s">
        <v>46</v>
      </c>
    </row>
    <row r="36" spans="8:52" x14ac:dyDescent="0.25">
      <c r="T36" s="68">
        <v>1995</v>
      </c>
      <c r="U36" s="68">
        <v>1996</v>
      </c>
      <c r="V36" s="68">
        <v>1997</v>
      </c>
      <c r="W36" s="68">
        <v>1998</v>
      </c>
      <c r="X36" s="68">
        <v>1999</v>
      </c>
      <c r="Y36" s="68">
        <v>2000</v>
      </c>
      <c r="Z36" s="68">
        <v>2001</v>
      </c>
      <c r="AA36" s="68">
        <v>2002</v>
      </c>
      <c r="AB36" s="68">
        <v>2003</v>
      </c>
      <c r="AC36" s="68">
        <v>2004</v>
      </c>
      <c r="AD36" s="68">
        <v>2005</v>
      </c>
      <c r="AE36" s="68">
        <v>2006</v>
      </c>
      <c r="AF36" s="68">
        <v>2007</v>
      </c>
      <c r="AG36" s="68">
        <v>2008</v>
      </c>
      <c r="AH36" s="68">
        <v>2009</v>
      </c>
      <c r="AI36" s="68">
        <v>2010</v>
      </c>
      <c r="AJ36" s="68">
        <v>2011</v>
      </c>
      <c r="AK36" s="68">
        <v>2012</v>
      </c>
      <c r="AL36" s="68">
        <v>2013</v>
      </c>
      <c r="AM36" s="68">
        <v>2014</v>
      </c>
      <c r="AN36" s="68">
        <v>2015</v>
      </c>
      <c r="AO36" s="68">
        <v>2016</v>
      </c>
      <c r="AP36" s="68">
        <v>2017</v>
      </c>
      <c r="AQ36" s="68">
        <v>2018</v>
      </c>
      <c r="AR36" s="68">
        <v>2019</v>
      </c>
      <c r="AS36" s="68">
        <v>2020</v>
      </c>
      <c r="AT36" s="68">
        <v>2021</v>
      </c>
      <c r="AU36" s="68">
        <v>2022</v>
      </c>
      <c r="AV36" s="68">
        <v>2023</v>
      </c>
      <c r="AW36" s="68">
        <v>2024</v>
      </c>
      <c r="AX36" s="68">
        <v>2025</v>
      </c>
      <c r="AY36" s="68">
        <v>2026</v>
      </c>
    </row>
    <row r="37" spans="8:52" x14ac:dyDescent="0.25">
      <c r="S37" s="47" t="s">
        <v>51</v>
      </c>
      <c r="T37" s="64">
        <f>SUM(T25:T35)</f>
        <v>91.937973712443608</v>
      </c>
      <c r="U37" s="64">
        <f t="shared" ref="U37:AJ37" si="26">SUM(U25:U35)</f>
        <v>91.937973712443608</v>
      </c>
      <c r="V37" s="64">
        <f t="shared" si="26"/>
        <v>91.937973712443608</v>
      </c>
      <c r="W37" s="102">
        <f t="shared" si="26"/>
        <v>66.979350517270348</v>
      </c>
      <c r="X37" s="64">
        <f t="shared" si="26"/>
        <v>87.272096705108581</v>
      </c>
      <c r="Y37" s="64">
        <f t="shared" si="26"/>
        <v>87.272096705108581</v>
      </c>
      <c r="Z37" s="64">
        <f t="shared" si="26"/>
        <v>96.132101755077116</v>
      </c>
      <c r="AA37" s="64">
        <f t="shared" si="26"/>
        <v>96.132101755077116</v>
      </c>
      <c r="AB37" s="64">
        <f t="shared" si="26"/>
        <v>96.132101755077116</v>
      </c>
      <c r="AC37" s="64">
        <f t="shared" si="26"/>
        <v>96.132101755077116</v>
      </c>
      <c r="AD37" s="64">
        <f t="shared" si="26"/>
        <v>96.132101755077116</v>
      </c>
      <c r="AE37" s="64">
        <f t="shared" si="26"/>
        <v>96.132101755077116</v>
      </c>
      <c r="AF37" s="64">
        <f t="shared" si="26"/>
        <v>96.132101755077116</v>
      </c>
      <c r="AG37" s="64">
        <f t="shared" si="26"/>
        <v>87.68215603757794</v>
      </c>
      <c r="AH37" s="64">
        <f t="shared" si="26"/>
        <v>97.772052760820813</v>
      </c>
      <c r="AI37" s="64">
        <f t="shared" si="26"/>
        <v>97.772052760820813</v>
      </c>
      <c r="AJ37" s="64">
        <f t="shared" si="26"/>
        <v>96.132101755077116</v>
      </c>
      <c r="AK37" s="64">
        <f t="shared" ref="AK37:AT37" si="27">SUM(AK25:AK35)</f>
        <v>46.816222078787717</v>
      </c>
      <c r="AL37" s="64">
        <f t="shared" si="27"/>
        <v>46.816222078787717</v>
      </c>
      <c r="AM37" s="64">
        <f t="shared" si="27"/>
        <v>72.234982500317713</v>
      </c>
      <c r="AN37" s="64">
        <f t="shared" si="27"/>
        <v>79.18797469741429</v>
      </c>
      <c r="AO37" s="64">
        <f t="shared" si="27"/>
        <v>79.18797469741429</v>
      </c>
      <c r="AP37" s="64">
        <f t="shared" si="27"/>
        <v>79.18797469741429</v>
      </c>
      <c r="AQ37" s="64">
        <f t="shared" si="27"/>
        <v>79.18797469741429</v>
      </c>
      <c r="AR37" s="64">
        <f t="shared" si="27"/>
        <v>79.798184395328661</v>
      </c>
      <c r="AS37" s="64">
        <f t="shared" si="27"/>
        <v>80.383282667142964</v>
      </c>
      <c r="AT37" s="64">
        <f t="shared" si="27"/>
        <v>80.383282667142964</v>
      </c>
      <c r="AU37" s="64">
        <f>SUM(AU25:AU35)</f>
        <v>97.179829852906238</v>
      </c>
      <c r="AV37" s="64">
        <f t="shared" ref="AV37:AW37" si="28">SUM(AV25:AV35)</f>
        <v>80.920902110867317</v>
      </c>
      <c r="AW37" s="64">
        <f t="shared" si="28"/>
        <v>80.180882455900388</v>
      </c>
      <c r="AX37" s="64">
        <f>SUM(AX25:AX35)</f>
        <v>97.179829852906238</v>
      </c>
      <c r="AY37" s="64">
        <f>SUM(AY25:AY35)</f>
        <v>97.179829852906238</v>
      </c>
    </row>
    <row r="38" spans="8:52" x14ac:dyDescent="0.25">
      <c r="P38" s="76" t="s">
        <v>84</v>
      </c>
      <c r="S38" s="47" t="s">
        <v>53</v>
      </c>
      <c r="T38" s="138">
        <v>5.4</v>
      </c>
      <c r="U38" s="138">
        <v>3.9</v>
      </c>
      <c r="V38" s="139">
        <v>1.7</v>
      </c>
      <c r="W38" s="139">
        <v>1.8</v>
      </c>
      <c r="X38" s="139">
        <v>1.6</v>
      </c>
      <c r="Y38" s="139">
        <v>2.6</v>
      </c>
      <c r="Z38" s="139">
        <v>2.7</v>
      </c>
      <c r="AA38" s="139">
        <v>2.4</v>
      </c>
      <c r="AB38" s="139">
        <v>2.5</v>
      </c>
      <c r="AC38" s="139">
        <v>2</v>
      </c>
      <c r="AD38" s="139">
        <v>1.7</v>
      </c>
      <c r="AE38" s="139">
        <v>2</v>
      </c>
      <c r="AF38" s="139">
        <v>1.7</v>
      </c>
      <c r="AG38" s="139">
        <v>3.2</v>
      </c>
      <c r="AH38" s="139">
        <v>0.7</v>
      </c>
      <c r="AI38" s="139">
        <v>1.6</v>
      </c>
      <c r="AJ38" s="139">
        <v>2.7</v>
      </c>
      <c r="AK38" s="139">
        <v>3</v>
      </c>
      <c r="AL38" s="139">
        <v>1.1000000000000001</v>
      </c>
      <c r="AM38" s="139">
        <v>0.2</v>
      </c>
      <c r="AN38" s="139">
        <v>-0.1</v>
      </c>
      <c r="AO38" s="139">
        <v>-0.1</v>
      </c>
      <c r="AP38" s="139">
        <v>1.1000000000000001</v>
      </c>
      <c r="AQ38" s="139">
        <v>1.1000000000000001</v>
      </c>
      <c r="AR38" s="139">
        <v>0.5</v>
      </c>
      <c r="AS38" s="139">
        <v>-0.3</v>
      </c>
      <c r="AT38" s="139">
        <v>1.9</v>
      </c>
      <c r="AU38" s="139">
        <v>8.1</v>
      </c>
      <c r="AV38" s="139">
        <v>5.4</v>
      </c>
      <c r="AW38" s="139">
        <v>0.8</v>
      </c>
      <c r="AX38" s="138"/>
      <c r="AY38" s="138"/>
    </row>
    <row r="39" spans="8:52" x14ac:dyDescent="0.25">
      <c r="S39" s="47" t="s">
        <v>88</v>
      </c>
      <c r="T39" s="144">
        <v>124935</v>
      </c>
      <c r="U39" s="144">
        <v>137230</v>
      </c>
      <c r="V39" s="144">
        <v>148647</v>
      </c>
      <c r="W39" s="144">
        <v>150592</v>
      </c>
      <c r="X39" s="144">
        <v>159184</v>
      </c>
      <c r="Y39" s="144">
        <v>163359</v>
      </c>
      <c r="Z39" s="144">
        <v>171078</v>
      </c>
      <c r="AA39" s="144">
        <v>179289</v>
      </c>
      <c r="AB39" s="144">
        <v>186660</v>
      </c>
      <c r="AC39" s="144">
        <v>194099</v>
      </c>
      <c r="AD39" s="144">
        <v>201036</v>
      </c>
      <c r="AE39" s="144">
        <v>207732</v>
      </c>
      <c r="AF39" s="144">
        <v>215679</v>
      </c>
      <c r="AG39" s="144">
        <v>224169</v>
      </c>
      <c r="AH39" s="144">
        <v>233048</v>
      </c>
      <c r="AI39" s="144">
        <v>238613</v>
      </c>
      <c r="AJ39" s="144">
        <v>244990</v>
      </c>
      <c r="AK39" s="144">
        <v>250444</v>
      </c>
      <c r="AL39" s="144">
        <v>255633</v>
      </c>
      <c r="AM39" s="144">
        <v>257343</v>
      </c>
      <c r="AN39" s="144">
        <v>259353</v>
      </c>
      <c r="AO39" s="144">
        <v>261173</v>
      </c>
      <c r="AP39" s="144">
        <v>263815</v>
      </c>
      <c r="AQ39" s="144">
        <v>268693</v>
      </c>
      <c r="AR39" s="144">
        <v>275050</v>
      </c>
      <c r="AS39" s="144">
        <v>281376</v>
      </c>
      <c r="AT39" s="144">
        <v>286212</v>
      </c>
      <c r="AU39" s="144">
        <v>296798</v>
      </c>
      <c r="AV39" s="144">
        <v>318436</v>
      </c>
      <c r="AW39" s="144">
        <v>335922</v>
      </c>
      <c r="AX39" s="145"/>
      <c r="AY39" s="145"/>
    </row>
    <row r="40" spans="8:52" x14ac:dyDescent="0.25">
      <c r="S40" s="82" t="s">
        <v>79</v>
      </c>
      <c r="T40" s="87">
        <f>T39*98.5%</f>
        <v>123060.97499999999</v>
      </c>
      <c r="U40" s="87">
        <f t="shared" ref="U40:AV40" si="29">U39*98.5%</f>
        <v>135171.54999999999</v>
      </c>
      <c r="V40" s="87">
        <f t="shared" si="29"/>
        <v>146417.29499999998</v>
      </c>
      <c r="W40" s="87">
        <f t="shared" si="29"/>
        <v>148333.12</v>
      </c>
      <c r="X40" s="87">
        <f t="shared" si="29"/>
        <v>156796.24</v>
      </c>
      <c r="Y40" s="87">
        <f t="shared" si="29"/>
        <v>160908.61499999999</v>
      </c>
      <c r="Z40" s="87">
        <f t="shared" si="29"/>
        <v>168511.83</v>
      </c>
      <c r="AA40" s="87">
        <f t="shared" si="29"/>
        <v>176599.66500000001</v>
      </c>
      <c r="AB40" s="87">
        <f t="shared" si="29"/>
        <v>183860.1</v>
      </c>
      <c r="AC40" s="87">
        <f t="shared" si="29"/>
        <v>191187.51499999998</v>
      </c>
      <c r="AD40" s="87">
        <f t="shared" si="29"/>
        <v>198020.46</v>
      </c>
      <c r="AE40" s="87">
        <f t="shared" si="29"/>
        <v>204616.02</v>
      </c>
      <c r="AF40" s="87">
        <f t="shared" si="29"/>
        <v>212443.815</v>
      </c>
      <c r="AG40" s="87">
        <f t="shared" si="29"/>
        <v>220806.465</v>
      </c>
      <c r="AH40" s="87">
        <f t="shared" si="29"/>
        <v>229552.28</v>
      </c>
      <c r="AI40" s="87">
        <f t="shared" si="29"/>
        <v>235033.80499999999</v>
      </c>
      <c r="AJ40" s="87">
        <f t="shared" si="29"/>
        <v>241315.15</v>
      </c>
      <c r="AK40" s="87">
        <f t="shared" si="29"/>
        <v>246687.34</v>
      </c>
      <c r="AL40" s="87">
        <f t="shared" si="29"/>
        <v>251798.505</v>
      </c>
      <c r="AM40" s="87">
        <f t="shared" si="29"/>
        <v>253482.85500000001</v>
      </c>
      <c r="AN40" s="87">
        <f t="shared" si="29"/>
        <v>255462.70499999999</v>
      </c>
      <c r="AO40" s="87">
        <f t="shared" si="29"/>
        <v>257255.405</v>
      </c>
      <c r="AP40" s="87">
        <f t="shared" si="29"/>
        <v>259857.77499999999</v>
      </c>
      <c r="AQ40" s="87">
        <f t="shared" si="29"/>
        <v>264662.60499999998</v>
      </c>
      <c r="AR40" s="87">
        <f t="shared" si="29"/>
        <v>270924.25</v>
      </c>
      <c r="AS40" s="87">
        <f t="shared" si="29"/>
        <v>277155.36</v>
      </c>
      <c r="AT40" s="87">
        <f t="shared" si="29"/>
        <v>281918.82</v>
      </c>
      <c r="AU40" s="87">
        <f t="shared" si="29"/>
        <v>292346.02999999997</v>
      </c>
      <c r="AV40" s="87">
        <f t="shared" si="29"/>
        <v>313659.46000000002</v>
      </c>
      <c r="AW40" s="87">
        <f>AW39*98.5%</f>
        <v>330883.17</v>
      </c>
      <c r="AX40" s="87"/>
      <c r="AY40" s="87"/>
    </row>
    <row r="41" spans="8:52" x14ac:dyDescent="0.25">
      <c r="S41" s="47" t="s">
        <v>87</v>
      </c>
      <c r="T41" s="47" t="s">
        <v>50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87">
        <v>272660</v>
      </c>
      <c r="AS41" s="87">
        <v>278468</v>
      </c>
      <c r="AT41" s="87">
        <v>283411</v>
      </c>
      <c r="AU41" s="87">
        <v>292103</v>
      </c>
      <c r="AV41" s="87">
        <v>314894</v>
      </c>
      <c r="AW41" s="47"/>
      <c r="AX41" s="47"/>
      <c r="AY41" s="47"/>
      <c r="AZ41" s="2" t="s">
        <v>165</v>
      </c>
    </row>
    <row r="42" spans="8:52" x14ac:dyDescent="0.25">
      <c r="P42" s="2" t="s">
        <v>83</v>
      </c>
      <c r="Q42" s="97">
        <v>2.5000000000000001E-2</v>
      </c>
      <c r="S42" s="82" t="s">
        <v>103</v>
      </c>
      <c r="T42" s="94">
        <f>(T40+(T40*(1-2.5%)))/2</f>
        <v>121522.71281249999</v>
      </c>
      <c r="U42" s="94">
        <f t="shared" ref="U42:AW42" si="30">(U40+(U40*(1-2.5%)))/2</f>
        <v>133481.90562499998</v>
      </c>
      <c r="V42" s="94">
        <f t="shared" si="30"/>
        <v>144587.0788125</v>
      </c>
      <c r="W42" s="94">
        <f t="shared" si="30"/>
        <v>146478.95600000001</v>
      </c>
      <c r="X42" s="94">
        <f t="shared" si="30"/>
        <v>154836.28699999998</v>
      </c>
      <c r="Y42" s="94">
        <f t="shared" si="30"/>
        <v>158897.25731249998</v>
      </c>
      <c r="Z42" s="94">
        <f t="shared" si="30"/>
        <v>166405.43212499999</v>
      </c>
      <c r="AA42" s="94">
        <f t="shared" si="30"/>
        <v>174392.16918750003</v>
      </c>
      <c r="AB42" s="94">
        <f>(AB40+(AB40*(1-2.5%)))/2</f>
        <v>181561.84875</v>
      </c>
      <c r="AC42" s="94">
        <f t="shared" si="30"/>
        <v>188797.67106249998</v>
      </c>
      <c r="AD42" s="94">
        <f t="shared" si="30"/>
        <v>195545.20425000001</v>
      </c>
      <c r="AE42" s="94">
        <f t="shared" si="30"/>
        <v>202058.31974999997</v>
      </c>
      <c r="AF42" s="94">
        <f t="shared" si="30"/>
        <v>209788.26731249999</v>
      </c>
      <c r="AG42" s="94">
        <f t="shared" si="30"/>
        <v>218046.38418749999</v>
      </c>
      <c r="AH42" s="94">
        <f t="shared" si="30"/>
        <v>226682.87650000001</v>
      </c>
      <c r="AI42" s="94">
        <f t="shared" si="30"/>
        <v>232095.8824375</v>
      </c>
      <c r="AJ42" s="94">
        <f t="shared" si="30"/>
        <v>238298.71062500001</v>
      </c>
      <c r="AK42" s="94">
        <f t="shared" si="30"/>
        <v>243603.74825</v>
      </c>
      <c r="AL42" s="94">
        <f t="shared" si="30"/>
        <v>248651.02368749998</v>
      </c>
      <c r="AM42" s="94">
        <f t="shared" si="30"/>
        <v>250314.31931250001</v>
      </c>
      <c r="AN42" s="94">
        <f t="shared" si="30"/>
        <v>252269.4211875</v>
      </c>
      <c r="AO42" s="94">
        <f t="shared" si="30"/>
        <v>254039.71243750001</v>
      </c>
      <c r="AP42" s="94">
        <f t="shared" si="30"/>
        <v>256609.55281249998</v>
      </c>
      <c r="AQ42" s="94">
        <f t="shared" si="30"/>
        <v>261354.3224375</v>
      </c>
      <c r="AR42" s="94">
        <f>(AR40+(AR40*(1-2.5%)))/2</f>
        <v>267537.69687500002</v>
      </c>
      <c r="AS42" s="94">
        <f t="shared" si="30"/>
        <v>273690.91799999995</v>
      </c>
      <c r="AT42" s="94">
        <f t="shared" si="30"/>
        <v>278394.83475000004</v>
      </c>
      <c r="AU42" s="94">
        <f t="shared" si="30"/>
        <v>288691.70462499995</v>
      </c>
      <c r="AV42" s="94">
        <f>(AV40+(AV40*(1-2.5%)))/2</f>
        <v>309738.71675000002</v>
      </c>
      <c r="AW42" s="94">
        <f t="shared" si="30"/>
        <v>326747.13037499995</v>
      </c>
      <c r="AX42" s="94"/>
      <c r="AY42" s="94"/>
    </row>
    <row r="44" spans="8:52" x14ac:dyDescent="0.25">
      <c r="H44" s="183" t="s">
        <v>50</v>
      </c>
      <c r="I44" s="184"/>
      <c r="J44" s="184"/>
      <c r="K44" s="184"/>
      <c r="L44" s="184"/>
      <c r="M44" s="184"/>
      <c r="T44" s="68">
        <v>1995</v>
      </c>
      <c r="U44" s="68">
        <v>1996</v>
      </c>
      <c r="V44" s="68">
        <v>1997</v>
      </c>
      <c r="W44" s="68">
        <v>1998</v>
      </c>
      <c r="X44" s="68">
        <v>1999</v>
      </c>
      <c r="Y44" s="68">
        <v>2000</v>
      </c>
      <c r="Z44" s="68">
        <v>2001</v>
      </c>
      <c r="AA44" s="68">
        <v>2002</v>
      </c>
      <c r="AB44" s="68">
        <v>2003</v>
      </c>
      <c r="AC44" s="68">
        <v>2004</v>
      </c>
      <c r="AD44" s="68">
        <v>2005</v>
      </c>
      <c r="AE44" s="68">
        <v>2006</v>
      </c>
      <c r="AF44" s="68">
        <v>2007</v>
      </c>
      <c r="AG44" s="68">
        <v>2008</v>
      </c>
      <c r="AH44" s="68">
        <v>2009</v>
      </c>
      <c r="AI44" s="68">
        <v>2010</v>
      </c>
      <c r="AJ44" s="86">
        <v>2011</v>
      </c>
      <c r="AK44" s="68">
        <v>2012</v>
      </c>
      <c r="AL44" s="68">
        <v>2013</v>
      </c>
      <c r="AM44" s="68">
        <v>2014</v>
      </c>
      <c r="AN44" s="68">
        <v>2015</v>
      </c>
      <c r="AO44" s="68">
        <v>2016</v>
      </c>
      <c r="AP44" s="68">
        <v>2017</v>
      </c>
      <c r="AQ44" s="68">
        <v>2018</v>
      </c>
      <c r="AR44" s="68">
        <v>2019</v>
      </c>
      <c r="AS44" s="68">
        <v>2020</v>
      </c>
      <c r="AT44" s="68">
        <v>2021</v>
      </c>
      <c r="AU44" s="90">
        <v>2022</v>
      </c>
      <c r="AV44" s="68">
        <v>2023</v>
      </c>
      <c r="AW44" s="68">
        <v>2024</v>
      </c>
      <c r="AX44" s="68">
        <v>2025</v>
      </c>
      <c r="AY44" s="68">
        <v>2026</v>
      </c>
    </row>
    <row r="45" spans="8:52" x14ac:dyDescent="0.25">
      <c r="S45" s="83" t="s">
        <v>85</v>
      </c>
      <c r="T45" s="95" t="s">
        <v>50</v>
      </c>
      <c r="U45" s="95">
        <f>T42*T38%*U37%</f>
        <v>6033.1780670510479</v>
      </c>
      <c r="V45" s="95">
        <f t="shared" ref="V45:AV45" si="31">U42*U38%*V37%</f>
        <v>4786.1018128708702</v>
      </c>
      <c r="W45" s="95">
        <f t="shared" si="31"/>
        <v>1646.3392674486072</v>
      </c>
      <c r="X45" s="95">
        <f t="shared" si="31"/>
        <v>2301.0346103931624</v>
      </c>
      <c r="Y45" s="95">
        <f t="shared" si="31"/>
        <v>2162.0619860038314</v>
      </c>
      <c r="Z45" s="95">
        <f t="shared" si="31"/>
        <v>3971.5331002276589</v>
      </c>
      <c r="AA45" s="95">
        <f t="shared" si="31"/>
        <v>4319.1640620822818</v>
      </c>
      <c r="AB45" s="95">
        <f t="shared" si="31"/>
        <v>4023.5245808691307</v>
      </c>
      <c r="AC45" s="95">
        <f t="shared" si="31"/>
        <v>4363.4805297187304</v>
      </c>
      <c r="AD45" s="95">
        <f t="shared" si="31"/>
        <v>3629.9033851403656</v>
      </c>
      <c r="AE45" s="95">
        <f t="shared" si="31"/>
        <v>3195.6891503553179</v>
      </c>
      <c r="AF45" s="95">
        <f t="shared" si="31"/>
        <v>3884.8581909333807</v>
      </c>
      <c r="AG45" s="95">
        <f t="shared" si="31"/>
        <v>3127.0968901891156</v>
      </c>
      <c r="AH45" s="95">
        <f>AG42*AG38%*AH37%</f>
        <v>6822.0296253076658</v>
      </c>
      <c r="AI45" s="95">
        <f t="shared" si="31"/>
        <v>1551.4275112792839</v>
      </c>
      <c r="AJ45" s="96">
        <f t="shared" si="31"/>
        <v>3569.8983979865866</v>
      </c>
      <c r="AK45" s="95">
        <f t="shared" si="31"/>
        <v>3012.1862465813683</v>
      </c>
      <c r="AL45" s="95">
        <f t="shared" si="31"/>
        <v>3421.3821531891281</v>
      </c>
      <c r="AM45" s="95">
        <f t="shared" si="31"/>
        <v>1975.7432579227914</v>
      </c>
      <c r="AN45" s="95">
        <f t="shared" si="31"/>
        <v>396.43767968237461</v>
      </c>
      <c r="AO45" s="95">
        <f>AN42*AN38%*AO37%</f>
        <v>-199.76704541927097</v>
      </c>
      <c r="AP45" s="95">
        <f t="shared" si="31"/>
        <v>-201.16890320639152</v>
      </c>
      <c r="AQ45" s="95">
        <f t="shared" si="31"/>
        <v>2235.2429852754149</v>
      </c>
      <c r="AR45" s="95">
        <f>AQ42*AQ38%*AR37%</f>
        <v>2294.1160455822192</v>
      </c>
      <c r="AS45" s="95">
        <f>AR42*AR38%*AS37%</f>
        <v>1075.2779156009769</v>
      </c>
      <c r="AT45" s="95">
        <f t="shared" si="31"/>
        <v>-660.00523275071521</v>
      </c>
      <c r="AU45" s="95">
        <f t="shared" si="31"/>
        <v>5140.3289078572607</v>
      </c>
      <c r="AV45" s="95">
        <f t="shared" si="31"/>
        <v>18922.566467845027</v>
      </c>
      <c r="AW45" s="95">
        <f>AV42*AV38%*AW37%</f>
        <v>13410.966765477517</v>
      </c>
      <c r="AX45" s="95">
        <f>AW42*AW38%*AX37%</f>
        <v>2540.2584427814295</v>
      </c>
      <c r="AY45" s="95"/>
    </row>
    <row r="46" spans="8:52" x14ac:dyDescent="0.25">
      <c r="S46" s="83" t="s">
        <v>85</v>
      </c>
      <c r="T46" s="95" t="s">
        <v>50</v>
      </c>
      <c r="U46" s="95">
        <f>U45</f>
        <v>6033.1780670510479</v>
      </c>
      <c r="V46" s="95">
        <f t="shared" ref="V46:AN46" si="32">V45</f>
        <v>4786.1018128708702</v>
      </c>
      <c r="W46" s="95">
        <f t="shared" si="32"/>
        <v>1646.3392674486072</v>
      </c>
      <c r="X46" s="95">
        <f t="shared" si="32"/>
        <v>2301.0346103931624</v>
      </c>
      <c r="Y46" s="95">
        <f t="shared" si="32"/>
        <v>2162.0619860038314</v>
      </c>
      <c r="Z46" s="95">
        <f t="shared" si="32"/>
        <v>3971.5331002276589</v>
      </c>
      <c r="AA46" s="95">
        <f t="shared" si="32"/>
        <v>4319.1640620822818</v>
      </c>
      <c r="AB46" s="95">
        <f t="shared" si="32"/>
        <v>4023.5245808691307</v>
      </c>
      <c r="AC46" s="95">
        <f t="shared" si="32"/>
        <v>4363.4805297187304</v>
      </c>
      <c r="AD46" s="95">
        <f t="shared" si="32"/>
        <v>3629.9033851403656</v>
      </c>
      <c r="AE46" s="95">
        <f t="shared" si="32"/>
        <v>3195.6891503553179</v>
      </c>
      <c r="AF46" s="95">
        <f t="shared" si="32"/>
        <v>3884.8581909333807</v>
      </c>
      <c r="AG46" s="95">
        <f t="shared" si="32"/>
        <v>3127.0968901891156</v>
      </c>
      <c r="AH46" s="95">
        <f>AH45</f>
        <v>6822.0296253076658</v>
      </c>
      <c r="AI46" s="95">
        <f t="shared" si="32"/>
        <v>1551.4275112792839</v>
      </c>
      <c r="AJ46" s="96">
        <f t="shared" si="32"/>
        <v>3569.8983979865866</v>
      </c>
      <c r="AK46" s="95">
        <f t="shared" si="32"/>
        <v>3012.1862465813683</v>
      </c>
      <c r="AL46" s="95">
        <f t="shared" si="32"/>
        <v>3421.3821531891281</v>
      </c>
      <c r="AM46" s="95">
        <f t="shared" si="32"/>
        <v>1975.7432579227914</v>
      </c>
      <c r="AN46" s="95">
        <f t="shared" si="32"/>
        <v>396.43767968237461</v>
      </c>
      <c r="AO46" s="95">
        <v>0</v>
      </c>
      <c r="AP46" s="95">
        <v>0</v>
      </c>
      <c r="AQ46" s="95">
        <f>AQ45</f>
        <v>2235.2429852754149</v>
      </c>
      <c r="AR46" s="95">
        <f>AR45</f>
        <v>2294.1160455822192</v>
      </c>
      <c r="AS46" s="95">
        <f>AS45</f>
        <v>1075.2779156009769</v>
      </c>
      <c r="AT46" s="95">
        <v>0</v>
      </c>
      <c r="AU46" s="95">
        <f>AU45</f>
        <v>5140.3289078572607</v>
      </c>
      <c r="AV46" s="95">
        <f>AV45</f>
        <v>18922.566467845027</v>
      </c>
      <c r="AW46" s="95">
        <f>AW45</f>
        <v>13410.966765477517</v>
      </c>
      <c r="AX46" s="95">
        <f>AX45</f>
        <v>2540.2584427814295</v>
      </c>
      <c r="AY46" s="95"/>
    </row>
    <row r="48" spans="8:52" x14ac:dyDescent="0.25">
      <c r="T48" s="47">
        <v>1995</v>
      </c>
      <c r="U48" s="47">
        <v>1996</v>
      </c>
      <c r="V48" s="47">
        <v>1997</v>
      </c>
      <c r="W48" s="47">
        <v>1998</v>
      </c>
      <c r="X48" s="47">
        <v>1999</v>
      </c>
      <c r="Y48" s="47">
        <v>2000</v>
      </c>
      <c r="Z48" s="47">
        <v>2001</v>
      </c>
      <c r="AA48" s="47">
        <v>2002</v>
      </c>
      <c r="AB48" s="47">
        <v>2003</v>
      </c>
      <c r="AC48" s="47">
        <v>2004</v>
      </c>
      <c r="AD48" s="47">
        <v>2005</v>
      </c>
      <c r="AE48" s="47">
        <v>2006</v>
      </c>
      <c r="AF48" s="47">
        <v>2007</v>
      </c>
      <c r="AG48" s="47">
        <v>2008</v>
      </c>
      <c r="AH48" s="47">
        <v>2009</v>
      </c>
      <c r="AI48" s="47">
        <v>2010</v>
      </c>
      <c r="AJ48" s="47">
        <v>2011</v>
      </c>
      <c r="AK48" s="47">
        <v>2012</v>
      </c>
      <c r="AL48" s="47">
        <v>2013</v>
      </c>
      <c r="AM48" s="47">
        <v>2014</v>
      </c>
      <c r="AN48" s="47">
        <v>2015</v>
      </c>
      <c r="AO48" s="47">
        <v>2016</v>
      </c>
      <c r="AP48" s="47">
        <v>2017</v>
      </c>
      <c r="AQ48" s="47">
        <v>2018</v>
      </c>
      <c r="AR48" s="47">
        <v>2019</v>
      </c>
      <c r="AS48" s="47">
        <v>2020</v>
      </c>
      <c r="AT48" s="47">
        <v>2021</v>
      </c>
      <c r="AU48" s="47">
        <v>2022</v>
      </c>
      <c r="AV48" s="47">
        <v>2023</v>
      </c>
      <c r="AW48" s="47">
        <v>2024</v>
      </c>
      <c r="AX48" s="47">
        <v>2025</v>
      </c>
      <c r="AY48" s="47">
        <v>2026</v>
      </c>
    </row>
    <row r="49" spans="19:51" x14ac:dyDescent="0.25">
      <c r="S49" s="47" t="s">
        <v>89</v>
      </c>
      <c r="T49" s="89">
        <f>T40</f>
        <v>123060.97499999999</v>
      </c>
      <c r="U49" s="89">
        <f t="shared" ref="U49:AU49" si="33">U40</f>
        <v>135171.54999999999</v>
      </c>
      <c r="V49" s="89">
        <f t="shared" si="33"/>
        <v>146417.29499999998</v>
      </c>
      <c r="W49" s="89">
        <f t="shared" si="33"/>
        <v>148333.12</v>
      </c>
      <c r="X49" s="89">
        <f t="shared" si="33"/>
        <v>156796.24</v>
      </c>
      <c r="Y49" s="89">
        <f t="shared" si="33"/>
        <v>160908.61499999999</v>
      </c>
      <c r="Z49" s="89">
        <f t="shared" si="33"/>
        <v>168511.83</v>
      </c>
      <c r="AA49" s="89">
        <f t="shared" si="33"/>
        <v>176599.66500000001</v>
      </c>
      <c r="AB49" s="89">
        <f t="shared" si="33"/>
        <v>183860.1</v>
      </c>
      <c r="AC49" s="89">
        <f t="shared" si="33"/>
        <v>191187.51499999998</v>
      </c>
      <c r="AD49" s="89">
        <f t="shared" si="33"/>
        <v>198020.46</v>
      </c>
      <c r="AE49" s="89">
        <f t="shared" si="33"/>
        <v>204616.02</v>
      </c>
      <c r="AF49" s="89">
        <f t="shared" si="33"/>
        <v>212443.815</v>
      </c>
      <c r="AG49" s="89">
        <f t="shared" si="33"/>
        <v>220806.465</v>
      </c>
      <c r="AH49" s="89">
        <f t="shared" si="33"/>
        <v>229552.28</v>
      </c>
      <c r="AI49" s="89">
        <f t="shared" si="33"/>
        <v>235033.80499999999</v>
      </c>
      <c r="AJ49" s="89">
        <f t="shared" si="33"/>
        <v>241315.15</v>
      </c>
      <c r="AK49" s="89">
        <f t="shared" si="33"/>
        <v>246687.34</v>
      </c>
      <c r="AL49" s="89">
        <f t="shared" si="33"/>
        <v>251798.505</v>
      </c>
      <c r="AM49" s="89">
        <f t="shared" si="33"/>
        <v>253482.85500000001</v>
      </c>
      <c r="AN49" s="89">
        <f t="shared" si="33"/>
        <v>255462.70499999999</v>
      </c>
      <c r="AO49" s="89">
        <f t="shared" si="33"/>
        <v>257255.405</v>
      </c>
      <c r="AP49" s="89">
        <f t="shared" si="33"/>
        <v>259857.77499999999</v>
      </c>
      <c r="AQ49" s="89">
        <f t="shared" si="33"/>
        <v>264662.60499999998</v>
      </c>
      <c r="AR49" s="89">
        <f t="shared" si="33"/>
        <v>270924.25</v>
      </c>
      <c r="AS49" s="89">
        <f t="shared" si="33"/>
        <v>277155.36</v>
      </c>
      <c r="AT49" s="89">
        <f t="shared" si="33"/>
        <v>281918.82</v>
      </c>
      <c r="AU49" s="89">
        <f t="shared" si="33"/>
        <v>292346.02999999997</v>
      </c>
      <c r="AV49" s="89">
        <f>AV40</f>
        <v>313659.46000000002</v>
      </c>
      <c r="AW49" s="89">
        <f>AW40</f>
        <v>330883.17</v>
      </c>
      <c r="AX49" s="89"/>
      <c r="AY49" s="89"/>
    </row>
    <row r="50" spans="19:51" x14ac:dyDescent="0.25">
      <c r="S50" s="47" t="s">
        <v>87</v>
      </c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89">
        <f>AR41</f>
        <v>272660</v>
      </c>
      <c r="AS50" s="141">
        <f t="shared" ref="AS50:AU50" si="34">AS41</f>
        <v>278468</v>
      </c>
      <c r="AT50" s="141">
        <f t="shared" si="34"/>
        <v>283411</v>
      </c>
      <c r="AU50" s="141">
        <f t="shared" si="34"/>
        <v>292103</v>
      </c>
      <c r="AV50" s="89">
        <f>AV41</f>
        <v>314894</v>
      </c>
      <c r="AW50" s="141"/>
      <c r="AX50" s="141"/>
      <c r="AY50" s="141"/>
    </row>
    <row r="51" spans="19:51" x14ac:dyDescent="0.25">
      <c r="S51" s="47" t="s">
        <v>90</v>
      </c>
      <c r="T51" s="141"/>
      <c r="U51" s="89">
        <f>U46</f>
        <v>6033.1780670510479</v>
      </c>
      <c r="V51" s="89">
        <f t="shared" ref="V51:AW51" si="35">V46</f>
        <v>4786.1018128708702</v>
      </c>
      <c r="W51" s="89">
        <f t="shared" si="35"/>
        <v>1646.3392674486072</v>
      </c>
      <c r="X51" s="89">
        <f t="shared" si="35"/>
        <v>2301.0346103931624</v>
      </c>
      <c r="Y51" s="89">
        <f t="shared" si="35"/>
        <v>2162.0619860038314</v>
      </c>
      <c r="Z51" s="89">
        <f t="shared" si="35"/>
        <v>3971.5331002276589</v>
      </c>
      <c r="AA51" s="89">
        <f t="shared" si="35"/>
        <v>4319.1640620822818</v>
      </c>
      <c r="AB51" s="89">
        <f t="shared" si="35"/>
        <v>4023.5245808691307</v>
      </c>
      <c r="AC51" s="89">
        <f t="shared" si="35"/>
        <v>4363.4805297187304</v>
      </c>
      <c r="AD51" s="89">
        <f t="shared" si="35"/>
        <v>3629.9033851403656</v>
      </c>
      <c r="AE51" s="89">
        <f t="shared" si="35"/>
        <v>3195.6891503553179</v>
      </c>
      <c r="AF51" s="89">
        <f t="shared" si="35"/>
        <v>3884.8581909333807</v>
      </c>
      <c r="AG51" s="89">
        <f t="shared" si="35"/>
        <v>3127.0968901891156</v>
      </c>
      <c r="AH51" s="89">
        <f>AH46</f>
        <v>6822.0296253076658</v>
      </c>
      <c r="AI51" s="89">
        <f t="shared" si="35"/>
        <v>1551.4275112792839</v>
      </c>
      <c r="AJ51" s="89">
        <f t="shared" si="35"/>
        <v>3569.8983979865866</v>
      </c>
      <c r="AK51" s="89">
        <f t="shared" si="35"/>
        <v>3012.1862465813683</v>
      </c>
      <c r="AL51" s="89">
        <f t="shared" si="35"/>
        <v>3421.3821531891281</v>
      </c>
      <c r="AM51" s="89">
        <f t="shared" si="35"/>
        <v>1975.7432579227914</v>
      </c>
      <c r="AN51" s="89">
        <f t="shared" si="35"/>
        <v>396.43767968237461</v>
      </c>
      <c r="AO51" s="89">
        <v>0</v>
      </c>
      <c r="AP51" s="89">
        <v>0</v>
      </c>
      <c r="AQ51" s="89">
        <f t="shared" si="35"/>
        <v>2235.2429852754149</v>
      </c>
      <c r="AR51" s="89">
        <f>AR46</f>
        <v>2294.1160455822192</v>
      </c>
      <c r="AS51" s="89">
        <f t="shared" si="35"/>
        <v>1075.2779156009769</v>
      </c>
      <c r="AT51" s="89">
        <v>0</v>
      </c>
      <c r="AU51" s="89">
        <f t="shared" si="35"/>
        <v>5140.3289078572607</v>
      </c>
      <c r="AV51" s="89">
        <f t="shared" si="35"/>
        <v>18922.566467845027</v>
      </c>
      <c r="AW51" s="89">
        <f t="shared" si="35"/>
        <v>13410.966765477517</v>
      </c>
      <c r="AX51" s="89">
        <f>AX46</f>
        <v>2540.2584427814295</v>
      </c>
      <c r="AY51" s="141"/>
    </row>
    <row r="53" spans="19:51" x14ac:dyDescent="0.25">
      <c r="U53" s="2">
        <v>6056.9370105735934</v>
      </c>
      <c r="V53" s="2">
        <v>4806.3301816784569</v>
      </c>
      <c r="W53" s="2">
        <v>1654.6015875325425</v>
      </c>
      <c r="X53" s="2">
        <v>2313.8850281267783</v>
      </c>
      <c r="Y53" s="2">
        <v>2180.0855075601885</v>
      </c>
      <c r="Z53" s="2">
        <v>3998.9809963959578</v>
      </c>
      <c r="AA53" s="2">
        <v>4347.7433868246635</v>
      </c>
      <c r="AB53" s="2">
        <v>4050.7910744395999</v>
      </c>
      <c r="AC53" s="2">
        <v>4389.4753349745279</v>
      </c>
      <c r="AD53" s="2">
        <v>3651.3163722035947</v>
      </c>
      <c r="AE53" s="2">
        <v>3212.7615659797912</v>
      </c>
      <c r="AF53" s="2">
        <v>3911.4327364502797</v>
      </c>
      <c r="AG53" s="2">
        <v>3144.4520104259323</v>
      </c>
      <c r="AI53" s="2">
        <v>1559.6024494201431</v>
      </c>
      <c r="AJ53" s="2">
        <v>3589.1682162136185</v>
      </c>
    </row>
    <row r="54" spans="19:51" x14ac:dyDescent="0.25">
      <c r="AH54" s="2">
        <v>6858.0617398121885</v>
      </c>
    </row>
  </sheetData>
  <mergeCells count="15">
    <mergeCell ref="T8:W8"/>
    <mergeCell ref="T24:AJ24"/>
    <mergeCell ref="X8:AX8"/>
    <mergeCell ref="T9:AJ9"/>
    <mergeCell ref="AK9:AT9"/>
    <mergeCell ref="AV9:AW9"/>
    <mergeCell ref="AK24:AT24"/>
    <mergeCell ref="AV24:AW24"/>
    <mergeCell ref="D9:G9"/>
    <mergeCell ref="I10:J10"/>
    <mergeCell ref="K10:L10"/>
    <mergeCell ref="H44:M44"/>
    <mergeCell ref="R11:R21"/>
    <mergeCell ref="R8:S10"/>
    <mergeCell ref="H25:M25"/>
  </mergeCells>
  <hyperlinks>
    <hyperlink ref="P38" r:id="rId1" xr:uid="{918FB738-6F12-4994-83E5-CF5FBBE527B8}"/>
  </hyperlinks>
  <pageMargins left="0.7" right="0.7" top="0.75" bottom="0.75" header="0.3" footer="0.3"/>
  <ignoredErrors>
    <ignoredError sqref="AU26:AU3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2B2D-2943-476A-81DB-CC6634D232D7}">
  <sheetPr>
    <tabColor rgb="FF0070C0"/>
  </sheetPr>
  <dimension ref="C5:BA56"/>
  <sheetViews>
    <sheetView topLeftCell="X60" zoomScaleNormal="100" workbookViewId="0">
      <selection activeCell="AK44" sqref="AK44"/>
    </sheetView>
  </sheetViews>
  <sheetFormatPr defaultRowHeight="15" x14ac:dyDescent="0.25"/>
  <cols>
    <col min="1" max="3" width="9.140625" style="2"/>
    <col min="4" max="4" width="18.85546875" style="2" customWidth="1"/>
    <col min="5" max="7" width="16.42578125" style="2" customWidth="1"/>
    <col min="8" max="17" width="9.140625" style="2"/>
    <col min="18" max="18" width="3.28515625" style="2" customWidth="1"/>
    <col min="19" max="19" width="5.7109375" style="2" customWidth="1"/>
    <col min="20" max="51" width="8.5703125" style="2" customWidth="1"/>
    <col min="52" max="16384" width="9.140625" style="2"/>
  </cols>
  <sheetData>
    <row r="5" spans="3:53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3:53" x14ac:dyDescent="0.25"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3:53" ht="7.5" customHeight="1" thickBot="1" x14ac:dyDescent="0.3"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5" t="s">
        <v>6</v>
      </c>
      <c r="AZ7" s="1"/>
      <c r="BA7" s="1"/>
    </row>
    <row r="8" spans="3:53" ht="7.5" customHeight="1" thickTop="1" thickBot="1" x14ac:dyDescent="0.3">
      <c r="Q8" s="1"/>
      <c r="R8" s="173"/>
      <c r="S8" s="174"/>
      <c r="T8" s="187"/>
      <c r="U8" s="187"/>
      <c r="V8" s="187"/>
      <c r="W8" s="188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8"/>
      <c r="AZ8" s="1"/>
      <c r="BA8" s="1"/>
    </row>
    <row r="9" spans="3:53" ht="7.5" customHeight="1" thickTop="1" thickBot="1" x14ac:dyDescent="0.3">
      <c r="D9" s="179" t="s">
        <v>45</v>
      </c>
      <c r="E9" s="180"/>
      <c r="F9" s="180"/>
      <c r="G9" s="181"/>
      <c r="Q9" s="1"/>
      <c r="R9" s="175"/>
      <c r="S9" s="176"/>
      <c r="T9" s="192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9"/>
      <c r="AV9" s="195"/>
      <c r="AW9" s="196"/>
      <c r="AX9" s="9"/>
      <c r="AY9" s="9"/>
      <c r="AZ9" s="1"/>
      <c r="BA9" s="1"/>
    </row>
    <row r="10" spans="3:53" ht="42" thickTop="1" thickBot="1" x14ac:dyDescent="0.3">
      <c r="D10" s="48" t="s">
        <v>29</v>
      </c>
      <c r="E10" s="48" t="s">
        <v>30</v>
      </c>
      <c r="F10" s="48" t="s">
        <v>31</v>
      </c>
      <c r="G10" s="48" t="s">
        <v>32</v>
      </c>
      <c r="I10" s="182" t="s">
        <v>47</v>
      </c>
      <c r="J10" s="182"/>
      <c r="K10" s="182" t="s">
        <v>48</v>
      </c>
      <c r="L10" s="182"/>
      <c r="Q10" s="1"/>
      <c r="R10" s="177"/>
      <c r="S10" s="178"/>
      <c r="T10" s="62">
        <v>1995</v>
      </c>
      <c r="U10" s="50">
        <v>1996</v>
      </c>
      <c r="V10" s="50">
        <v>1997</v>
      </c>
      <c r="W10" s="60">
        <v>1998</v>
      </c>
      <c r="X10" s="60">
        <v>1999</v>
      </c>
      <c r="Y10" s="60">
        <v>2000</v>
      </c>
      <c r="Z10" s="56">
        <v>2001</v>
      </c>
      <c r="AA10" s="56">
        <v>2002</v>
      </c>
      <c r="AB10" s="56">
        <v>2003</v>
      </c>
      <c r="AC10" s="56">
        <v>2004</v>
      </c>
      <c r="AD10" s="56">
        <v>2005</v>
      </c>
      <c r="AE10" s="56">
        <v>2006</v>
      </c>
      <c r="AF10" s="56">
        <v>2007</v>
      </c>
      <c r="AG10" s="67">
        <v>2008</v>
      </c>
      <c r="AH10" s="67">
        <v>2009</v>
      </c>
      <c r="AI10" s="67">
        <v>2010</v>
      </c>
      <c r="AJ10" s="56">
        <v>2011</v>
      </c>
      <c r="AK10" s="65">
        <v>2012</v>
      </c>
      <c r="AL10" s="65">
        <v>2013</v>
      </c>
      <c r="AM10" s="70">
        <v>2014</v>
      </c>
      <c r="AN10" s="69">
        <v>2015</v>
      </c>
      <c r="AO10" s="69">
        <v>2016</v>
      </c>
      <c r="AP10" s="69">
        <v>2017</v>
      </c>
      <c r="AQ10" s="69">
        <v>2018</v>
      </c>
      <c r="AR10" s="66">
        <v>2019</v>
      </c>
      <c r="AS10" s="63">
        <v>2020</v>
      </c>
      <c r="AT10" s="63">
        <v>2021</v>
      </c>
      <c r="AU10" s="57">
        <v>2022</v>
      </c>
      <c r="AV10" s="59">
        <v>2023</v>
      </c>
      <c r="AW10" s="59">
        <v>2024</v>
      </c>
      <c r="AX10" s="57">
        <v>2025</v>
      </c>
      <c r="AY10" s="54">
        <v>2026</v>
      </c>
      <c r="AZ10" s="1"/>
      <c r="BA10" s="1"/>
    </row>
    <row r="11" spans="3:53" ht="15.75" thickTop="1" x14ac:dyDescent="0.25">
      <c r="C11" s="49">
        <v>1</v>
      </c>
      <c r="D11" s="44" t="s">
        <v>33</v>
      </c>
      <c r="E11" s="46">
        <v>1239616</v>
      </c>
      <c r="F11" s="46">
        <v>272.69</v>
      </c>
      <c r="G11" s="46">
        <v>4394459093.54</v>
      </c>
      <c r="H11" s="58">
        <v>1</v>
      </c>
      <c r="I11" s="53">
        <f>E11/$E$22</f>
        <v>8.6883580308661224E-2</v>
      </c>
      <c r="J11" s="53">
        <f>SUM($I$11:I11)</f>
        <v>8.6883580308661224E-2</v>
      </c>
      <c r="K11" s="53">
        <f>G11/$G$22</f>
        <v>1.5011824145800174E-2</v>
      </c>
      <c r="L11" s="53">
        <f>SUM($K$11:K11)</f>
        <v>1.5011824145800174E-2</v>
      </c>
      <c r="Q11" s="1"/>
      <c r="R11" s="185" t="s">
        <v>1</v>
      </c>
      <c r="S11" s="3">
        <v>1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6">
        <v>100</v>
      </c>
      <c r="AF11" s="6">
        <v>100</v>
      </c>
      <c r="AG11" s="6">
        <v>100</v>
      </c>
      <c r="AH11" s="6">
        <v>100</v>
      </c>
      <c r="AI11" s="6">
        <v>100</v>
      </c>
      <c r="AJ11" s="6">
        <v>100</v>
      </c>
      <c r="AK11" s="6">
        <v>100</v>
      </c>
      <c r="AL11" s="6">
        <v>100</v>
      </c>
      <c r="AM11" s="6">
        <v>100</v>
      </c>
      <c r="AN11" s="6">
        <v>100</v>
      </c>
      <c r="AO11" s="6">
        <v>100</v>
      </c>
      <c r="AP11" s="6">
        <v>100</v>
      </c>
      <c r="AQ11" s="6">
        <v>100</v>
      </c>
      <c r="AR11" s="6">
        <v>100</v>
      </c>
      <c r="AS11" s="6">
        <v>100</v>
      </c>
      <c r="AT11" s="6">
        <v>100</v>
      </c>
      <c r="AU11" s="6">
        <v>100</v>
      </c>
      <c r="AV11" s="6">
        <v>100</v>
      </c>
      <c r="AW11" s="6">
        <v>100</v>
      </c>
      <c r="AX11" s="6">
        <v>100</v>
      </c>
      <c r="AY11" s="38">
        <v>100</v>
      </c>
      <c r="AZ11" s="1"/>
      <c r="BA11" s="1"/>
    </row>
    <row r="12" spans="3:53" x14ac:dyDescent="0.25">
      <c r="C12" s="49">
        <v>2</v>
      </c>
      <c r="D12" s="44" t="s">
        <v>34</v>
      </c>
      <c r="E12" s="46">
        <v>3870395</v>
      </c>
      <c r="F12" s="46">
        <v>756.59</v>
      </c>
      <c r="G12" s="46">
        <v>38068101562.07</v>
      </c>
      <c r="H12" s="58">
        <v>2</v>
      </c>
      <c r="I12" s="53">
        <f t="shared" ref="I12:I22" si="0">E12/$E$22</f>
        <v>0.27127253505016136</v>
      </c>
      <c r="J12" s="53">
        <f>SUM($I$11:I12)</f>
        <v>0.35815611535882258</v>
      </c>
      <c r="K12" s="53">
        <f t="shared" ref="K12:K22" si="1">G12/$G$22</f>
        <v>0.13004368320422824</v>
      </c>
      <c r="L12" s="53">
        <f>SUM($K$11:K12)</f>
        <v>0.14505550735002842</v>
      </c>
      <c r="Q12" s="1"/>
      <c r="R12" s="185"/>
      <c r="S12" s="3">
        <v>2</v>
      </c>
      <c r="T12" s="4">
        <v>100</v>
      </c>
      <c r="U12" s="4">
        <v>100</v>
      </c>
      <c r="V12" s="4">
        <v>100</v>
      </c>
      <c r="W12" s="4">
        <v>100</v>
      </c>
      <c r="X12" s="4">
        <v>100</v>
      </c>
      <c r="Y12" s="4">
        <v>100</v>
      </c>
      <c r="Z12" s="4">
        <v>100</v>
      </c>
      <c r="AA12" s="4">
        <v>100</v>
      </c>
      <c r="AB12" s="4">
        <v>100</v>
      </c>
      <c r="AC12" s="4">
        <v>100</v>
      </c>
      <c r="AD12" s="4">
        <v>100</v>
      </c>
      <c r="AE12" s="4">
        <v>100</v>
      </c>
      <c r="AF12" s="4">
        <v>100</v>
      </c>
      <c r="AG12" s="4">
        <v>100</v>
      </c>
      <c r="AH12" s="4">
        <v>100</v>
      </c>
      <c r="AI12" s="4">
        <v>100</v>
      </c>
      <c r="AJ12" s="4">
        <v>100</v>
      </c>
      <c r="AK12" s="4">
        <v>100</v>
      </c>
      <c r="AL12" s="4">
        <v>100</v>
      </c>
      <c r="AM12" s="4">
        <v>100</v>
      </c>
      <c r="AN12" s="4">
        <v>100</v>
      </c>
      <c r="AO12" s="4">
        <v>100</v>
      </c>
      <c r="AP12" s="4">
        <v>100</v>
      </c>
      <c r="AQ12" s="4">
        <v>100</v>
      </c>
      <c r="AR12" s="4">
        <v>100</v>
      </c>
      <c r="AS12" s="4">
        <v>100</v>
      </c>
      <c r="AT12" s="4">
        <v>100</v>
      </c>
      <c r="AU12" s="4">
        <v>100</v>
      </c>
      <c r="AV12" s="4">
        <v>100</v>
      </c>
      <c r="AW12" s="4">
        <v>100</v>
      </c>
      <c r="AX12" s="4">
        <v>100</v>
      </c>
      <c r="AY12" s="39">
        <v>100</v>
      </c>
      <c r="AZ12" s="1"/>
      <c r="BA12" s="1"/>
    </row>
    <row r="13" spans="3:53" x14ac:dyDescent="0.25">
      <c r="C13" s="49">
        <v>3</v>
      </c>
      <c r="D13" s="44" t="s">
        <v>35</v>
      </c>
      <c r="E13" s="46">
        <v>3488899</v>
      </c>
      <c r="F13" s="46">
        <v>1316.18</v>
      </c>
      <c r="G13" s="46">
        <v>59696377524.93</v>
      </c>
      <c r="H13" s="58">
        <v>3</v>
      </c>
      <c r="I13" s="53">
        <f t="shared" si="0"/>
        <v>0.24453382051805383</v>
      </c>
      <c r="J13" s="53">
        <f>SUM($I$11:I13)</f>
        <v>0.60268993587687647</v>
      </c>
      <c r="K13" s="53">
        <f t="shared" si="1"/>
        <v>0.20392760575765045</v>
      </c>
      <c r="L13" s="53">
        <f>SUM($K$11:K13)</f>
        <v>0.34898311310767888</v>
      </c>
      <c r="Q13" s="1"/>
      <c r="R13" s="185"/>
      <c r="S13" s="3">
        <v>3</v>
      </c>
      <c r="T13" s="4">
        <v>90</v>
      </c>
      <c r="U13" s="4">
        <v>90</v>
      </c>
      <c r="V13" s="4">
        <v>90</v>
      </c>
      <c r="W13" s="4">
        <v>90</v>
      </c>
      <c r="X13" s="4">
        <v>90</v>
      </c>
      <c r="Y13" s="4">
        <v>90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N13" s="4">
        <v>100</v>
      </c>
      <c r="AO13" s="4">
        <v>100</v>
      </c>
      <c r="AP13" s="4">
        <v>100</v>
      </c>
      <c r="AQ13" s="4">
        <v>100</v>
      </c>
      <c r="AR13" s="4">
        <v>100</v>
      </c>
      <c r="AS13" s="4">
        <v>100</v>
      </c>
      <c r="AT13" s="4">
        <v>100</v>
      </c>
      <c r="AU13" s="4">
        <v>100</v>
      </c>
      <c r="AV13" s="4">
        <v>100</v>
      </c>
      <c r="AW13" s="4">
        <v>100</v>
      </c>
      <c r="AX13" s="4">
        <v>100</v>
      </c>
      <c r="AY13" s="39">
        <v>100</v>
      </c>
      <c r="AZ13" s="1"/>
      <c r="BA13" s="1"/>
    </row>
    <row r="14" spans="3:53" x14ac:dyDescent="0.25">
      <c r="C14" s="49">
        <v>4</v>
      </c>
      <c r="D14" s="44" t="s">
        <v>36</v>
      </c>
      <c r="E14" s="46">
        <v>2407576</v>
      </c>
      <c r="F14" s="46">
        <v>1824.13</v>
      </c>
      <c r="G14" s="46">
        <v>57092560198.25</v>
      </c>
      <c r="H14" s="58">
        <v>4</v>
      </c>
      <c r="I14" s="53">
        <f t="shared" si="0"/>
        <v>0.1687448554594369</v>
      </c>
      <c r="J14" s="53">
        <f>SUM($I$11:I14)</f>
        <v>0.77143479133631332</v>
      </c>
      <c r="K14" s="53">
        <f t="shared" si="1"/>
        <v>0.19503275727143551</v>
      </c>
      <c r="L14" s="53">
        <f>SUM($K$11:K14)</f>
        <v>0.54401587037911436</v>
      </c>
      <c r="Q14" s="1"/>
      <c r="R14" s="185"/>
      <c r="S14" s="3">
        <v>4</v>
      </c>
      <c r="T14" s="4">
        <v>75</v>
      </c>
      <c r="U14" s="4">
        <v>75</v>
      </c>
      <c r="V14" s="4">
        <v>75</v>
      </c>
      <c r="W14" s="4">
        <v>75</v>
      </c>
      <c r="X14" s="4">
        <v>75</v>
      </c>
      <c r="Y14" s="4">
        <v>75</v>
      </c>
      <c r="Z14" s="4">
        <v>90</v>
      </c>
      <c r="AA14" s="4">
        <v>90</v>
      </c>
      <c r="AB14" s="4">
        <v>90</v>
      </c>
      <c r="AC14" s="4">
        <v>90</v>
      </c>
      <c r="AD14" s="4">
        <v>90</v>
      </c>
      <c r="AE14" s="4">
        <v>90</v>
      </c>
      <c r="AF14" s="4">
        <v>90</v>
      </c>
      <c r="AG14" s="4">
        <v>100</v>
      </c>
      <c r="AH14" s="4">
        <v>100</v>
      </c>
      <c r="AI14" s="4">
        <v>100</v>
      </c>
      <c r="AJ14" s="4">
        <v>90</v>
      </c>
      <c r="AK14" s="4">
        <v>40</v>
      </c>
      <c r="AL14" s="4">
        <v>40</v>
      </c>
      <c r="AM14" s="4">
        <v>95</v>
      </c>
      <c r="AN14" s="4">
        <v>95</v>
      </c>
      <c r="AO14" s="4">
        <v>95</v>
      </c>
      <c r="AP14" s="4">
        <v>95</v>
      </c>
      <c r="AQ14" s="4">
        <v>95</v>
      </c>
      <c r="AR14" s="4">
        <v>97</v>
      </c>
      <c r="AS14" s="4">
        <v>100</v>
      </c>
      <c r="AT14" s="4">
        <v>100</v>
      </c>
      <c r="AU14" s="4">
        <v>100</v>
      </c>
      <c r="AV14" s="4">
        <v>100</v>
      </c>
      <c r="AW14" s="4">
        <v>100</v>
      </c>
      <c r="AX14" s="4">
        <v>100</v>
      </c>
      <c r="AY14" s="39">
        <v>100</v>
      </c>
      <c r="AZ14" s="1"/>
      <c r="BA14" s="1"/>
    </row>
    <row r="15" spans="3:53" x14ac:dyDescent="0.25">
      <c r="C15" s="49">
        <v>5</v>
      </c>
      <c r="D15" s="44" t="s">
        <v>37</v>
      </c>
      <c r="E15" s="46">
        <v>1529558</v>
      </c>
      <c r="F15" s="46">
        <v>2343.69</v>
      </c>
      <c r="G15" s="46">
        <v>46602616234</v>
      </c>
      <c r="H15" s="58">
        <v>5</v>
      </c>
      <c r="I15" s="53">
        <f t="shared" si="0"/>
        <v>0.10720535660216973</v>
      </c>
      <c r="J15" s="53">
        <f>SUM($I$11:I15)</f>
        <v>0.87864014793848311</v>
      </c>
      <c r="K15" s="53">
        <f t="shared" si="1"/>
        <v>0.15919826871694887</v>
      </c>
      <c r="L15" s="53">
        <f>SUM($K$11:K15)</f>
        <v>0.70321413909606323</v>
      </c>
      <c r="Q15" s="1"/>
      <c r="R15" s="185"/>
      <c r="S15" s="3">
        <v>5</v>
      </c>
      <c r="T15" s="4">
        <v>75</v>
      </c>
      <c r="U15" s="4">
        <v>75</v>
      </c>
      <c r="V15" s="4">
        <v>75</v>
      </c>
      <c r="W15" s="4">
        <v>75</v>
      </c>
      <c r="X15" s="4">
        <v>75</v>
      </c>
      <c r="Y15" s="4">
        <v>75</v>
      </c>
      <c r="Z15" s="4">
        <v>90</v>
      </c>
      <c r="AA15" s="4">
        <v>90</v>
      </c>
      <c r="AB15" s="4">
        <v>90</v>
      </c>
      <c r="AC15" s="4">
        <v>90</v>
      </c>
      <c r="AD15" s="4">
        <v>90</v>
      </c>
      <c r="AE15" s="4">
        <v>90</v>
      </c>
      <c r="AF15" s="4">
        <v>90</v>
      </c>
      <c r="AG15" s="4">
        <v>100</v>
      </c>
      <c r="AH15" s="4">
        <v>100</v>
      </c>
      <c r="AI15" s="4">
        <v>100</v>
      </c>
      <c r="AJ15" s="4">
        <v>90</v>
      </c>
      <c r="AK15" s="4">
        <v>20</v>
      </c>
      <c r="AL15" s="4">
        <v>20</v>
      </c>
      <c r="AM15" s="4">
        <v>75</v>
      </c>
      <c r="AN15" s="4">
        <v>75</v>
      </c>
      <c r="AO15" s="4">
        <v>75</v>
      </c>
      <c r="AP15" s="4">
        <v>75</v>
      </c>
      <c r="AQ15" s="4">
        <v>75</v>
      </c>
      <c r="AR15" s="4">
        <v>77</v>
      </c>
      <c r="AS15" s="4">
        <v>77</v>
      </c>
      <c r="AT15" s="4">
        <v>77</v>
      </c>
      <c r="AU15" s="4">
        <v>90</v>
      </c>
      <c r="AV15" s="4">
        <v>85</v>
      </c>
      <c r="AW15" s="4">
        <v>85</v>
      </c>
      <c r="AX15" s="4">
        <v>90</v>
      </c>
      <c r="AY15" s="39">
        <v>90</v>
      </c>
      <c r="AZ15" s="1"/>
      <c r="BA15" s="1"/>
    </row>
    <row r="16" spans="3:53" x14ac:dyDescent="0.25">
      <c r="C16" s="49">
        <v>6</v>
      </c>
      <c r="D16" s="44" t="s">
        <v>38</v>
      </c>
      <c r="E16" s="46">
        <v>734699</v>
      </c>
      <c r="F16" s="46">
        <v>2858.45</v>
      </c>
      <c r="G16" s="46">
        <v>27301324401.029999</v>
      </c>
      <c r="H16" s="58">
        <v>6</v>
      </c>
      <c r="I16" s="53">
        <f t="shared" si="0"/>
        <v>5.1494397917736696E-2</v>
      </c>
      <c r="J16" s="53">
        <f>SUM($I$11:I16)</f>
        <v>0.9301345458562198</v>
      </c>
      <c r="K16" s="53">
        <f t="shared" si="1"/>
        <v>9.326351028234349E-2</v>
      </c>
      <c r="L16" s="53">
        <f>SUM($K$11:K16)</f>
        <v>0.7964776493784067</v>
      </c>
      <c r="Q16" s="1"/>
      <c r="R16" s="185"/>
      <c r="S16" s="3">
        <v>6</v>
      </c>
      <c r="T16" s="4">
        <v>75</v>
      </c>
      <c r="U16" s="4">
        <v>75</v>
      </c>
      <c r="V16" s="4">
        <v>75</v>
      </c>
      <c r="W16" s="4">
        <v>0</v>
      </c>
      <c r="X16" s="4">
        <v>30</v>
      </c>
      <c r="Y16" s="4">
        <v>30</v>
      </c>
      <c r="Z16" s="4">
        <v>75</v>
      </c>
      <c r="AA16" s="4">
        <v>75</v>
      </c>
      <c r="AB16" s="4">
        <v>75</v>
      </c>
      <c r="AC16" s="4">
        <v>75</v>
      </c>
      <c r="AD16" s="4">
        <v>75</v>
      </c>
      <c r="AE16" s="4">
        <v>75</v>
      </c>
      <c r="AF16" s="4">
        <v>75</v>
      </c>
      <c r="AG16" s="4">
        <v>75</v>
      </c>
      <c r="AH16" s="4">
        <v>75</v>
      </c>
      <c r="AI16" s="4">
        <v>75</v>
      </c>
      <c r="AJ16" s="4">
        <v>75</v>
      </c>
      <c r="AK16" s="4">
        <v>10</v>
      </c>
      <c r="AL16" s="4">
        <v>10</v>
      </c>
      <c r="AM16" s="4">
        <v>50</v>
      </c>
      <c r="AN16" s="4">
        <v>50</v>
      </c>
      <c r="AO16" s="4">
        <v>50</v>
      </c>
      <c r="AP16" s="4">
        <v>50</v>
      </c>
      <c r="AQ16" s="4">
        <v>50</v>
      </c>
      <c r="AR16" s="4">
        <v>52</v>
      </c>
      <c r="AS16" s="4">
        <v>52</v>
      </c>
      <c r="AT16" s="4">
        <v>52</v>
      </c>
      <c r="AU16" s="4">
        <v>75</v>
      </c>
      <c r="AV16" s="4">
        <v>53</v>
      </c>
      <c r="AW16" s="4">
        <v>53</v>
      </c>
      <c r="AX16" s="4">
        <v>75</v>
      </c>
      <c r="AY16" s="39">
        <v>75</v>
      </c>
      <c r="AZ16" s="1"/>
      <c r="BA16" s="1"/>
    </row>
    <row r="17" spans="3:53" x14ac:dyDescent="0.25">
      <c r="C17" s="49">
        <v>7</v>
      </c>
      <c r="D17" s="44" t="s">
        <v>39</v>
      </c>
      <c r="E17" s="46">
        <v>366953</v>
      </c>
      <c r="F17" s="46">
        <v>3383.51</v>
      </c>
      <c r="G17" s="46">
        <v>16140675372.41</v>
      </c>
      <c r="H17" s="58">
        <v>7</v>
      </c>
      <c r="I17" s="53">
        <f t="shared" si="0"/>
        <v>2.5719408627352471E-2</v>
      </c>
      <c r="J17" s="53">
        <f>SUM($I$11:I17)</f>
        <v>0.95585395448357224</v>
      </c>
      <c r="K17" s="53">
        <f t="shared" si="1"/>
        <v>5.5137839521878153E-2</v>
      </c>
      <c r="L17" s="53">
        <f>SUM($K$11:K17)</f>
        <v>0.85161548890028482</v>
      </c>
      <c r="Q17" s="1"/>
      <c r="R17" s="185"/>
      <c r="S17" s="3">
        <v>7</v>
      </c>
      <c r="T17" s="4">
        <v>75</v>
      </c>
      <c r="U17" s="4">
        <v>75</v>
      </c>
      <c r="V17" s="4">
        <v>75</v>
      </c>
      <c r="W17" s="4">
        <v>0</v>
      </c>
      <c r="X17" s="4">
        <v>30</v>
      </c>
      <c r="Y17" s="4">
        <v>30</v>
      </c>
      <c r="Z17" s="4">
        <v>75</v>
      </c>
      <c r="AA17" s="4">
        <v>75</v>
      </c>
      <c r="AB17" s="4">
        <v>75</v>
      </c>
      <c r="AC17" s="4">
        <v>75</v>
      </c>
      <c r="AD17" s="4">
        <v>75</v>
      </c>
      <c r="AE17" s="4">
        <v>75</v>
      </c>
      <c r="AF17" s="4">
        <v>75</v>
      </c>
      <c r="AG17" s="4">
        <v>75</v>
      </c>
      <c r="AH17" s="4">
        <v>75</v>
      </c>
      <c r="AI17" s="4">
        <v>75</v>
      </c>
      <c r="AJ17" s="4">
        <v>75</v>
      </c>
      <c r="AK17" s="4">
        <v>0</v>
      </c>
      <c r="AL17" s="4">
        <v>0</v>
      </c>
      <c r="AM17" s="4">
        <v>40</v>
      </c>
      <c r="AN17" s="4">
        <v>45</v>
      </c>
      <c r="AO17" s="4">
        <v>45</v>
      </c>
      <c r="AP17" s="4">
        <v>45</v>
      </c>
      <c r="AQ17" s="4">
        <v>45</v>
      </c>
      <c r="AR17" s="4">
        <v>47</v>
      </c>
      <c r="AS17" s="4">
        <v>47</v>
      </c>
      <c r="AT17" s="4">
        <v>47</v>
      </c>
      <c r="AU17" s="4">
        <v>75</v>
      </c>
      <c r="AV17" s="4">
        <v>47</v>
      </c>
      <c r="AW17" s="4">
        <v>47</v>
      </c>
      <c r="AX17" s="4">
        <v>75</v>
      </c>
      <c r="AY17" s="39">
        <v>75</v>
      </c>
      <c r="AZ17" s="1"/>
      <c r="BA17" s="1"/>
    </row>
    <row r="18" spans="3:53" x14ac:dyDescent="0.25">
      <c r="C18" s="49">
        <v>8</v>
      </c>
      <c r="D18" s="44" t="s">
        <v>40</v>
      </c>
      <c r="E18" s="46">
        <v>191471</v>
      </c>
      <c r="F18" s="46">
        <v>3913.9</v>
      </c>
      <c r="G18" s="46">
        <v>9742179313.7099991</v>
      </c>
      <c r="H18" s="58">
        <v>8</v>
      </c>
      <c r="I18" s="53">
        <f t="shared" si="0"/>
        <v>1.3420031691491294E-2</v>
      </c>
      <c r="J18" s="53">
        <f>SUM($I$11:I18)</f>
        <v>0.96927398617506355</v>
      </c>
      <c r="K18" s="53">
        <f t="shared" si="1"/>
        <v>3.3280064631675821E-2</v>
      </c>
      <c r="L18" s="53">
        <f>SUM($K$11:K18)</f>
        <v>0.8848955535319607</v>
      </c>
      <c r="Q18" s="1"/>
      <c r="R18" s="185"/>
      <c r="S18" s="3">
        <v>8</v>
      </c>
      <c r="T18" s="4">
        <v>75</v>
      </c>
      <c r="U18" s="4">
        <v>75</v>
      </c>
      <c r="V18" s="4">
        <v>75</v>
      </c>
      <c r="W18" s="4">
        <v>0</v>
      </c>
      <c r="X18" s="4">
        <v>30</v>
      </c>
      <c r="Y18" s="4">
        <v>30</v>
      </c>
      <c r="Z18" s="4">
        <v>75</v>
      </c>
      <c r="AA18" s="4">
        <v>75</v>
      </c>
      <c r="AB18" s="4">
        <v>75</v>
      </c>
      <c r="AC18" s="4">
        <v>75</v>
      </c>
      <c r="AD18" s="4">
        <v>75</v>
      </c>
      <c r="AE18" s="4">
        <v>75</v>
      </c>
      <c r="AF18" s="4">
        <v>75</v>
      </c>
      <c r="AG18" s="4">
        <v>75</v>
      </c>
      <c r="AH18" s="4">
        <v>75</v>
      </c>
      <c r="AI18" s="4">
        <v>75</v>
      </c>
      <c r="AJ18" s="4">
        <v>75</v>
      </c>
      <c r="AK18" s="4">
        <v>0</v>
      </c>
      <c r="AL18" s="4">
        <v>0</v>
      </c>
      <c r="AM18" s="4">
        <v>0</v>
      </c>
      <c r="AN18" s="4">
        <v>45</v>
      </c>
      <c r="AO18" s="4">
        <v>45</v>
      </c>
      <c r="AP18" s="4">
        <v>45</v>
      </c>
      <c r="AQ18" s="4">
        <v>45</v>
      </c>
      <c r="AR18" s="4">
        <v>47</v>
      </c>
      <c r="AS18" s="4">
        <v>47</v>
      </c>
      <c r="AT18" s="4">
        <v>47</v>
      </c>
      <c r="AU18" s="4">
        <v>75</v>
      </c>
      <c r="AV18" s="4">
        <v>47</v>
      </c>
      <c r="AW18" s="4">
        <v>47</v>
      </c>
      <c r="AX18" s="4">
        <v>75</v>
      </c>
      <c r="AY18" s="39">
        <v>75</v>
      </c>
      <c r="AZ18" s="1"/>
      <c r="BA18" s="1"/>
    </row>
    <row r="19" spans="3:53" x14ac:dyDescent="0.25">
      <c r="C19" s="49">
        <v>9</v>
      </c>
      <c r="D19" s="44" t="s">
        <v>41</v>
      </c>
      <c r="E19" s="46">
        <v>115269</v>
      </c>
      <c r="F19" s="46">
        <v>4450.38</v>
      </c>
      <c r="G19" s="46">
        <v>6668874671.3100004</v>
      </c>
      <c r="H19" s="58">
        <v>9</v>
      </c>
      <c r="I19" s="53">
        <f t="shared" si="0"/>
        <v>8.0791014464149137E-3</v>
      </c>
      <c r="J19" s="53">
        <f>SUM($I$11:I19)</f>
        <v>0.97735308762147843</v>
      </c>
      <c r="K19" s="53">
        <f t="shared" si="1"/>
        <v>2.278140988119666E-2</v>
      </c>
      <c r="L19" s="53">
        <f>SUM($K$11:K19)</f>
        <v>0.9076769634131574</v>
      </c>
      <c r="Q19" s="1"/>
      <c r="R19" s="185"/>
      <c r="S19" s="3">
        <v>9</v>
      </c>
      <c r="T19" s="4">
        <v>75</v>
      </c>
      <c r="U19" s="4">
        <v>75</v>
      </c>
      <c r="V19" s="4">
        <v>75</v>
      </c>
      <c r="W19" s="4">
        <v>0</v>
      </c>
      <c r="X19" s="4">
        <v>0</v>
      </c>
      <c r="Y19" s="4">
        <v>0</v>
      </c>
      <c r="Z19" s="4">
        <v>75</v>
      </c>
      <c r="AA19" s="4">
        <v>75</v>
      </c>
      <c r="AB19" s="4">
        <v>75</v>
      </c>
      <c r="AC19" s="4">
        <v>75</v>
      </c>
      <c r="AD19" s="4">
        <v>75</v>
      </c>
      <c r="AE19" s="4">
        <v>75</v>
      </c>
      <c r="AF19" s="4">
        <v>75</v>
      </c>
      <c r="AG19" s="4">
        <v>0</v>
      </c>
      <c r="AH19" s="4">
        <v>75</v>
      </c>
      <c r="AI19" s="4">
        <v>75</v>
      </c>
      <c r="AJ19" s="4">
        <v>75</v>
      </c>
      <c r="AK19" s="4">
        <v>0</v>
      </c>
      <c r="AL19" s="4">
        <v>0</v>
      </c>
      <c r="AM19" s="4">
        <v>0</v>
      </c>
      <c r="AN19" s="4">
        <v>45</v>
      </c>
      <c r="AO19" s="4">
        <v>45</v>
      </c>
      <c r="AP19" s="4">
        <v>45</v>
      </c>
      <c r="AQ19" s="4">
        <v>45</v>
      </c>
      <c r="AR19" s="4">
        <v>45</v>
      </c>
      <c r="AS19" s="4">
        <v>45</v>
      </c>
      <c r="AT19" s="4">
        <v>45</v>
      </c>
      <c r="AU19" s="4">
        <v>75</v>
      </c>
      <c r="AV19" s="4">
        <v>37</v>
      </c>
      <c r="AW19" s="4">
        <v>37</v>
      </c>
      <c r="AX19" s="4">
        <v>75</v>
      </c>
      <c r="AY19" s="39">
        <v>75</v>
      </c>
      <c r="AZ19" s="1"/>
      <c r="BA19" s="1"/>
    </row>
    <row r="20" spans="3:53" x14ac:dyDescent="0.25">
      <c r="C20" s="49">
        <v>10</v>
      </c>
      <c r="D20" s="44" t="s">
        <v>42</v>
      </c>
      <c r="E20" s="46">
        <v>82881</v>
      </c>
      <c r="F20" s="46">
        <v>4977.6499999999996</v>
      </c>
      <c r="G20" s="46">
        <v>5363185491.2200003</v>
      </c>
      <c r="H20" s="58">
        <v>10</v>
      </c>
      <c r="I20" s="53">
        <f t="shared" si="0"/>
        <v>5.8090554006742009E-3</v>
      </c>
      <c r="J20" s="53">
        <f>SUM($I$11:I20)</f>
        <v>0.98316214302215266</v>
      </c>
      <c r="K20" s="53">
        <f t="shared" si="1"/>
        <v>1.8321071090149795E-2</v>
      </c>
      <c r="L20" s="53">
        <f>SUM($K$11:K20)</f>
        <v>0.9259980345033072</v>
      </c>
      <c r="Q20" s="1"/>
      <c r="R20" s="185"/>
      <c r="S20" s="3">
        <v>10</v>
      </c>
      <c r="T20" s="4">
        <v>75</v>
      </c>
      <c r="U20" s="4">
        <v>75</v>
      </c>
      <c r="V20" s="4">
        <v>75</v>
      </c>
      <c r="W20" s="4">
        <v>0</v>
      </c>
      <c r="X20" s="4">
        <v>0</v>
      </c>
      <c r="Y20" s="4">
        <v>0</v>
      </c>
      <c r="Z20" s="4">
        <v>75</v>
      </c>
      <c r="AA20" s="4">
        <v>75</v>
      </c>
      <c r="AB20" s="4">
        <v>75</v>
      </c>
      <c r="AC20" s="4">
        <v>75</v>
      </c>
      <c r="AD20" s="4">
        <v>75</v>
      </c>
      <c r="AE20" s="4">
        <v>75</v>
      </c>
      <c r="AF20" s="4">
        <v>75</v>
      </c>
      <c r="AG20" s="4">
        <v>0</v>
      </c>
      <c r="AH20" s="4">
        <v>75</v>
      </c>
      <c r="AI20" s="4">
        <v>75</v>
      </c>
      <c r="AJ20" s="4">
        <v>75</v>
      </c>
      <c r="AK20" s="4">
        <v>0</v>
      </c>
      <c r="AL20" s="4">
        <v>0</v>
      </c>
      <c r="AM20" s="4">
        <v>0</v>
      </c>
      <c r="AN20" s="4">
        <v>45</v>
      </c>
      <c r="AO20" s="4">
        <v>45</v>
      </c>
      <c r="AP20" s="4">
        <v>45</v>
      </c>
      <c r="AQ20" s="4">
        <v>45</v>
      </c>
      <c r="AR20" s="4">
        <v>40</v>
      </c>
      <c r="AS20" s="4">
        <v>40</v>
      </c>
      <c r="AT20" s="4">
        <v>40</v>
      </c>
      <c r="AU20" s="4">
        <v>75</v>
      </c>
      <c r="AV20" s="4">
        <v>37</v>
      </c>
      <c r="AW20" s="4">
        <v>37</v>
      </c>
      <c r="AX20" s="4">
        <v>75</v>
      </c>
      <c r="AY20" s="39">
        <v>75</v>
      </c>
      <c r="AZ20" s="1"/>
      <c r="BA20" s="1"/>
    </row>
    <row r="21" spans="3:53" ht="15.75" thickBot="1" x14ac:dyDescent="0.3">
      <c r="C21" s="49" t="s">
        <v>46</v>
      </c>
      <c r="D21" s="44" t="s">
        <v>43</v>
      </c>
      <c r="E21" s="46">
        <v>240235</v>
      </c>
      <c r="F21" s="46">
        <v>6936.42</v>
      </c>
      <c r="G21" s="46">
        <v>21662831049.599998</v>
      </c>
      <c r="H21" s="58" t="s">
        <v>46</v>
      </c>
      <c r="I21" s="53">
        <f t="shared" si="0"/>
        <v>1.6837856977847357E-2</v>
      </c>
      <c r="J21" s="53">
        <f>SUM($I$11:I21)</f>
        <v>1</v>
      </c>
      <c r="K21" s="53">
        <f t="shared" si="1"/>
        <v>7.4001965496692801E-2</v>
      </c>
      <c r="L21" s="53">
        <f>SUM($K$11:K21)</f>
        <v>1</v>
      </c>
      <c r="Q21" s="1"/>
      <c r="R21" s="186"/>
      <c r="S21" s="40" t="s">
        <v>0</v>
      </c>
      <c r="T21" s="41">
        <v>75</v>
      </c>
      <c r="U21" s="41">
        <v>75</v>
      </c>
      <c r="V21" s="41">
        <v>75</v>
      </c>
      <c r="W21" s="41">
        <v>0</v>
      </c>
      <c r="X21" s="41">
        <v>0</v>
      </c>
      <c r="Y21" s="41">
        <v>0</v>
      </c>
      <c r="Z21" s="41">
        <v>75</v>
      </c>
      <c r="AA21" s="41">
        <v>75</v>
      </c>
      <c r="AB21" s="41">
        <v>75</v>
      </c>
      <c r="AC21" s="41">
        <v>75</v>
      </c>
      <c r="AD21" s="41">
        <v>75</v>
      </c>
      <c r="AE21" s="41">
        <v>75</v>
      </c>
      <c r="AF21" s="41">
        <v>75</v>
      </c>
      <c r="AG21" s="41">
        <v>0</v>
      </c>
      <c r="AH21" s="41">
        <v>75</v>
      </c>
      <c r="AI21" s="41">
        <v>75</v>
      </c>
      <c r="AJ21" s="41">
        <v>75</v>
      </c>
      <c r="AK21" s="41">
        <v>0</v>
      </c>
      <c r="AL21" s="41">
        <v>0</v>
      </c>
      <c r="AM21" s="41">
        <v>0</v>
      </c>
      <c r="AN21" s="41">
        <v>45</v>
      </c>
      <c r="AO21" s="41">
        <v>45</v>
      </c>
      <c r="AP21" s="41">
        <v>45</v>
      </c>
      <c r="AQ21" s="41">
        <v>45</v>
      </c>
      <c r="AR21" s="41">
        <v>40</v>
      </c>
      <c r="AS21" s="41">
        <v>40</v>
      </c>
      <c r="AT21" s="41">
        <v>40</v>
      </c>
      <c r="AU21" s="41">
        <v>75</v>
      </c>
      <c r="AV21" s="41">
        <v>32</v>
      </c>
      <c r="AW21" s="41">
        <v>22</v>
      </c>
      <c r="AX21" s="41">
        <v>75</v>
      </c>
      <c r="AY21" s="42">
        <v>75</v>
      </c>
      <c r="AZ21" s="1"/>
      <c r="BA21" s="1"/>
    </row>
    <row r="22" spans="3:53" ht="15.75" thickTop="1" x14ac:dyDescent="0.25">
      <c r="C22" s="47"/>
      <c r="D22" s="45" t="s">
        <v>44</v>
      </c>
      <c r="E22" s="43">
        <v>14267552</v>
      </c>
      <c r="F22" s="43">
        <v>33033.589999999997</v>
      </c>
      <c r="G22" s="43">
        <v>292733184912.07001</v>
      </c>
      <c r="I22" s="53">
        <f t="shared" si="0"/>
        <v>1</v>
      </c>
      <c r="J22" s="52"/>
      <c r="K22" s="53">
        <f t="shared" si="1"/>
        <v>1</v>
      </c>
      <c r="L22" s="53"/>
    </row>
    <row r="23" spans="3:53" ht="15.75" thickBot="1" x14ac:dyDescent="0.3"/>
    <row r="24" spans="3:53" ht="15.75" thickTop="1" x14ac:dyDescent="0.25">
      <c r="T24" s="189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88"/>
      <c r="AV24" s="198"/>
      <c r="AW24" s="199"/>
      <c r="AX24" s="88"/>
      <c r="AY24" s="88"/>
    </row>
    <row r="25" spans="3:53" x14ac:dyDescent="0.25">
      <c r="H25" s="183" t="s">
        <v>49</v>
      </c>
      <c r="I25" s="184"/>
      <c r="J25" s="184"/>
      <c r="K25" s="184"/>
      <c r="L25" s="184"/>
      <c r="M25" s="184"/>
      <c r="T25" s="77">
        <f>T11*$K11</f>
        <v>1.5011824145800174</v>
      </c>
      <c r="U25" s="77">
        <f t="shared" ref="U25:AJ25" si="2">U11*$K11</f>
        <v>1.5011824145800174</v>
      </c>
      <c r="V25" s="77">
        <f t="shared" si="2"/>
        <v>1.5011824145800174</v>
      </c>
      <c r="W25" s="77">
        <f t="shared" si="2"/>
        <v>1.5011824145800174</v>
      </c>
      <c r="X25" s="77">
        <f t="shared" si="2"/>
        <v>1.5011824145800174</v>
      </c>
      <c r="Y25" s="77">
        <f t="shared" si="2"/>
        <v>1.5011824145800174</v>
      </c>
      <c r="Z25" s="77">
        <f t="shared" si="2"/>
        <v>1.5011824145800174</v>
      </c>
      <c r="AA25" s="77">
        <f t="shared" si="2"/>
        <v>1.5011824145800174</v>
      </c>
      <c r="AB25" s="77">
        <f t="shared" si="2"/>
        <v>1.5011824145800174</v>
      </c>
      <c r="AC25" s="77">
        <f t="shared" si="2"/>
        <v>1.5011824145800174</v>
      </c>
      <c r="AD25" s="77">
        <f t="shared" si="2"/>
        <v>1.5011824145800174</v>
      </c>
      <c r="AE25" s="77">
        <f t="shared" si="2"/>
        <v>1.5011824145800174</v>
      </c>
      <c r="AF25" s="77">
        <f t="shared" si="2"/>
        <v>1.5011824145800174</v>
      </c>
      <c r="AG25" s="77">
        <f t="shared" si="2"/>
        <v>1.5011824145800174</v>
      </c>
      <c r="AH25" s="77">
        <f t="shared" si="2"/>
        <v>1.5011824145800174</v>
      </c>
      <c r="AI25" s="77">
        <f t="shared" si="2"/>
        <v>1.5011824145800174</v>
      </c>
      <c r="AJ25" s="77">
        <f t="shared" si="2"/>
        <v>1.5011824145800174</v>
      </c>
      <c r="AK25" s="47">
        <f>AK11*$K11</f>
        <v>1.5011824145800174</v>
      </c>
      <c r="AL25" s="47">
        <f t="shared" ref="AL25:AT25" si="3">AL11*$K11</f>
        <v>1.5011824145800174</v>
      </c>
      <c r="AM25" s="47">
        <f t="shared" si="3"/>
        <v>1.5011824145800174</v>
      </c>
      <c r="AN25" s="47">
        <f t="shared" si="3"/>
        <v>1.5011824145800174</v>
      </c>
      <c r="AO25" s="47">
        <f t="shared" si="3"/>
        <v>1.5011824145800174</v>
      </c>
      <c r="AP25" s="47">
        <f t="shared" si="3"/>
        <v>1.5011824145800174</v>
      </c>
      <c r="AQ25" s="47">
        <f t="shared" si="3"/>
        <v>1.5011824145800174</v>
      </c>
      <c r="AR25" s="47">
        <f t="shared" si="3"/>
        <v>1.5011824145800174</v>
      </c>
      <c r="AS25" s="47">
        <f t="shared" si="3"/>
        <v>1.5011824145800174</v>
      </c>
      <c r="AT25" s="47">
        <f t="shared" si="3"/>
        <v>1.5011824145800174</v>
      </c>
      <c r="AU25" s="77">
        <f>AU11*$K11</f>
        <v>1.5011824145800174</v>
      </c>
      <c r="AV25" s="47">
        <f t="shared" ref="AV25:AW35" si="4">AV11*$K11</f>
        <v>1.5011824145800174</v>
      </c>
      <c r="AW25" s="47">
        <f t="shared" si="4"/>
        <v>1.5011824145800174</v>
      </c>
      <c r="AX25" s="77">
        <f>AX11*$K11</f>
        <v>1.5011824145800174</v>
      </c>
      <c r="AY25" s="77">
        <f>AY11*$K11</f>
        <v>1.5011824145800174</v>
      </c>
      <c r="AZ25" s="2">
        <v>1</v>
      </c>
    </row>
    <row r="26" spans="3:53" x14ac:dyDescent="0.25">
      <c r="T26" s="77">
        <f>(1/1.5*T11+0.5/1.5*T12)*$K12</f>
        <v>13.004368320422822</v>
      </c>
      <c r="U26" s="77">
        <f t="shared" ref="U26:AJ26" si="5">(1/1.5*U11+0.5/1.5*U12)*$K12</f>
        <v>13.004368320422822</v>
      </c>
      <c r="V26" s="77">
        <f t="shared" si="5"/>
        <v>13.004368320422822</v>
      </c>
      <c r="W26" s="77">
        <f t="shared" si="5"/>
        <v>13.004368320422822</v>
      </c>
      <c r="X26" s="77">
        <f t="shared" si="5"/>
        <v>13.004368320422822</v>
      </c>
      <c r="Y26" s="77">
        <f t="shared" si="5"/>
        <v>13.004368320422822</v>
      </c>
      <c r="Z26" s="77">
        <f t="shared" si="5"/>
        <v>13.004368320422822</v>
      </c>
      <c r="AA26" s="77">
        <f t="shared" si="5"/>
        <v>13.004368320422822</v>
      </c>
      <c r="AB26" s="77">
        <f t="shared" si="5"/>
        <v>13.004368320422822</v>
      </c>
      <c r="AC26" s="77">
        <f t="shared" si="5"/>
        <v>13.004368320422822</v>
      </c>
      <c r="AD26" s="77">
        <f t="shared" si="5"/>
        <v>13.004368320422822</v>
      </c>
      <c r="AE26" s="77">
        <f t="shared" si="5"/>
        <v>13.004368320422822</v>
      </c>
      <c r="AF26" s="77">
        <f t="shared" si="5"/>
        <v>13.004368320422822</v>
      </c>
      <c r="AG26" s="77">
        <f t="shared" si="5"/>
        <v>13.004368320422822</v>
      </c>
      <c r="AH26" s="77">
        <f t="shared" si="5"/>
        <v>13.004368320422822</v>
      </c>
      <c r="AI26" s="77">
        <f t="shared" si="5"/>
        <v>13.004368320422822</v>
      </c>
      <c r="AJ26" s="77">
        <f t="shared" si="5"/>
        <v>13.004368320422822</v>
      </c>
      <c r="AK26" s="47">
        <f t="shared" ref="AK26:AT35" si="6">AK12*$K12</f>
        <v>13.004368320422824</v>
      </c>
      <c r="AL26" s="47">
        <f t="shared" si="6"/>
        <v>13.004368320422824</v>
      </c>
      <c r="AM26" s="47">
        <f t="shared" si="6"/>
        <v>13.004368320422824</v>
      </c>
      <c r="AN26" s="47">
        <f t="shared" si="6"/>
        <v>13.004368320422824</v>
      </c>
      <c r="AO26" s="47">
        <f t="shared" si="6"/>
        <v>13.004368320422824</v>
      </c>
      <c r="AP26" s="47">
        <f t="shared" si="6"/>
        <v>13.004368320422824</v>
      </c>
      <c r="AQ26" s="47">
        <f t="shared" si="6"/>
        <v>13.004368320422824</v>
      </c>
      <c r="AR26" s="47">
        <f t="shared" si="6"/>
        <v>13.004368320422824</v>
      </c>
      <c r="AS26" s="47">
        <f t="shared" si="6"/>
        <v>13.004368320422824</v>
      </c>
      <c r="AT26" s="47">
        <f t="shared" si="6"/>
        <v>13.004368320422824</v>
      </c>
      <c r="AU26" s="77">
        <f>(1/1.5*AU11+0.5/1.5*AU12)*$K12</f>
        <v>13.004368320422822</v>
      </c>
      <c r="AV26" s="47">
        <f t="shared" si="4"/>
        <v>13.004368320422824</v>
      </c>
      <c r="AW26" s="47">
        <f t="shared" si="4"/>
        <v>13.004368320422824</v>
      </c>
      <c r="AX26" s="77">
        <f>(1/1.5*AX11+0.5/1.5*AX12)*$K12</f>
        <v>13.004368320422822</v>
      </c>
      <c r="AY26" s="77">
        <f>(1/1.5*AY11+0.5/1.5*AY12)*$K12</f>
        <v>13.004368320422822</v>
      </c>
      <c r="AZ26" s="2">
        <v>2</v>
      </c>
    </row>
    <row r="27" spans="3:53" x14ac:dyDescent="0.25">
      <c r="T27" s="77">
        <f>(1/2.5*T11+1/2.5*T12+0.5/2.5*T13)*$K13</f>
        <v>19.984905364249745</v>
      </c>
      <c r="U27" s="77">
        <f t="shared" ref="U27:AJ27" si="7">(1/2.5*U11+1/2.5*U12+0.5/2.5*U13)*$K13</f>
        <v>19.984905364249745</v>
      </c>
      <c r="V27" s="77">
        <f t="shared" si="7"/>
        <v>19.984905364249745</v>
      </c>
      <c r="W27" s="77">
        <f t="shared" si="7"/>
        <v>19.984905364249745</v>
      </c>
      <c r="X27" s="77">
        <f t="shared" si="7"/>
        <v>19.984905364249745</v>
      </c>
      <c r="Y27" s="77">
        <f t="shared" si="7"/>
        <v>19.984905364249745</v>
      </c>
      <c r="Z27" s="77">
        <f t="shared" si="7"/>
        <v>20.392760575765045</v>
      </c>
      <c r="AA27" s="77">
        <f t="shared" si="7"/>
        <v>20.392760575765045</v>
      </c>
      <c r="AB27" s="77">
        <f t="shared" si="7"/>
        <v>20.392760575765045</v>
      </c>
      <c r="AC27" s="77">
        <f t="shared" si="7"/>
        <v>20.392760575765045</v>
      </c>
      <c r="AD27" s="77">
        <f t="shared" si="7"/>
        <v>20.392760575765045</v>
      </c>
      <c r="AE27" s="77">
        <f t="shared" si="7"/>
        <v>20.392760575765045</v>
      </c>
      <c r="AF27" s="77">
        <f t="shared" si="7"/>
        <v>20.392760575765045</v>
      </c>
      <c r="AG27" s="77">
        <f t="shared" si="7"/>
        <v>20.392760575765045</v>
      </c>
      <c r="AH27" s="77">
        <f t="shared" si="7"/>
        <v>20.392760575765045</v>
      </c>
      <c r="AI27" s="77">
        <f t="shared" si="7"/>
        <v>20.392760575765045</v>
      </c>
      <c r="AJ27" s="77">
        <f t="shared" si="7"/>
        <v>20.392760575765045</v>
      </c>
      <c r="AK27" s="47">
        <f t="shared" si="6"/>
        <v>20.392760575765045</v>
      </c>
      <c r="AL27" s="47">
        <f t="shared" si="6"/>
        <v>20.392760575765045</v>
      </c>
      <c r="AM27" s="47">
        <f t="shared" si="6"/>
        <v>20.392760575765045</v>
      </c>
      <c r="AN27" s="47">
        <f t="shared" si="6"/>
        <v>20.392760575765045</v>
      </c>
      <c r="AO27" s="47">
        <f t="shared" si="6"/>
        <v>20.392760575765045</v>
      </c>
      <c r="AP27" s="47">
        <f t="shared" si="6"/>
        <v>20.392760575765045</v>
      </c>
      <c r="AQ27" s="47">
        <f t="shared" si="6"/>
        <v>20.392760575765045</v>
      </c>
      <c r="AR27" s="47">
        <f t="shared" si="6"/>
        <v>20.392760575765045</v>
      </c>
      <c r="AS27" s="47">
        <f t="shared" si="6"/>
        <v>20.392760575765045</v>
      </c>
      <c r="AT27" s="47">
        <f t="shared" si="6"/>
        <v>20.392760575765045</v>
      </c>
      <c r="AU27" s="77">
        <f>(1/2.5*AU11+1/2.5*AU12+0.5/2.5*AU13)*$K13</f>
        <v>20.392760575765045</v>
      </c>
      <c r="AV27" s="47">
        <f t="shared" si="4"/>
        <v>20.392760575765045</v>
      </c>
      <c r="AW27" s="47">
        <f t="shared" si="4"/>
        <v>20.392760575765045</v>
      </c>
      <c r="AX27" s="77">
        <f>(1/2.5*AX11+1/2.5*AX12+0.5/2.5*AX13)*$K13</f>
        <v>20.392760575765045</v>
      </c>
      <c r="AY27" s="77">
        <f>(1/2.5*AY11+1/2.5*AY12+0.5/2.5*AY13)*$K13</f>
        <v>20.392760575765045</v>
      </c>
      <c r="AZ27" s="2">
        <v>3</v>
      </c>
    </row>
    <row r="28" spans="3:53" x14ac:dyDescent="0.25">
      <c r="T28" s="77">
        <f>(1/3.5*T11+1/3.5*T12+1/3.5*T13+0.5/3.5*T14)*$K14</f>
        <v>18.249493716112891</v>
      </c>
      <c r="U28" s="77">
        <f t="shared" ref="U28:AJ28" si="8">(1/3.5*U11+1/3.5*U12+1/3.5*U13+0.5/3.5*U14)*$K14</f>
        <v>18.249493716112891</v>
      </c>
      <c r="V28" s="77">
        <f t="shared" si="8"/>
        <v>18.249493716112891</v>
      </c>
      <c r="W28" s="77">
        <f t="shared" si="8"/>
        <v>18.249493716112891</v>
      </c>
      <c r="X28" s="77">
        <f t="shared" si="8"/>
        <v>18.249493716112891</v>
      </c>
      <c r="Y28" s="77">
        <f t="shared" si="8"/>
        <v>18.249493716112891</v>
      </c>
      <c r="Z28" s="77">
        <f t="shared" si="8"/>
        <v>19.224657502470073</v>
      </c>
      <c r="AA28" s="77">
        <f t="shared" si="8"/>
        <v>19.224657502470073</v>
      </c>
      <c r="AB28" s="77">
        <f t="shared" si="8"/>
        <v>19.224657502470073</v>
      </c>
      <c r="AC28" s="77">
        <f t="shared" si="8"/>
        <v>19.224657502470073</v>
      </c>
      <c r="AD28" s="77">
        <f t="shared" si="8"/>
        <v>19.224657502470073</v>
      </c>
      <c r="AE28" s="77">
        <f t="shared" si="8"/>
        <v>19.224657502470073</v>
      </c>
      <c r="AF28" s="77">
        <f t="shared" si="8"/>
        <v>19.224657502470073</v>
      </c>
      <c r="AG28" s="77">
        <f t="shared" si="8"/>
        <v>19.503275727143553</v>
      </c>
      <c r="AH28" s="77">
        <f t="shared" si="8"/>
        <v>19.503275727143553</v>
      </c>
      <c r="AI28" s="77">
        <f t="shared" si="8"/>
        <v>19.503275727143553</v>
      </c>
      <c r="AJ28" s="77">
        <f t="shared" si="8"/>
        <v>19.224657502470073</v>
      </c>
      <c r="AK28" s="47">
        <f t="shared" si="6"/>
        <v>7.8013102908574208</v>
      </c>
      <c r="AL28" s="47">
        <f t="shared" si="6"/>
        <v>7.8013102908574208</v>
      </c>
      <c r="AM28" s="47">
        <f t="shared" si="6"/>
        <v>18.528111940786374</v>
      </c>
      <c r="AN28" s="47">
        <f t="shared" si="6"/>
        <v>18.528111940786374</v>
      </c>
      <c r="AO28" s="47">
        <f t="shared" si="6"/>
        <v>18.528111940786374</v>
      </c>
      <c r="AP28" s="47">
        <f t="shared" si="6"/>
        <v>18.528111940786374</v>
      </c>
      <c r="AQ28" s="47">
        <f t="shared" si="6"/>
        <v>18.528111940786374</v>
      </c>
      <c r="AR28" s="47">
        <f t="shared" si="6"/>
        <v>18.918177455329246</v>
      </c>
      <c r="AS28" s="47">
        <f t="shared" si="6"/>
        <v>19.503275727143553</v>
      </c>
      <c r="AT28" s="47">
        <f t="shared" si="6"/>
        <v>19.503275727143553</v>
      </c>
      <c r="AU28" s="77">
        <f>(1/3.5*AU11+1/3.5*AU12+1/3.5*AU13+0.5/3.5*AU14)*$K14</f>
        <v>19.503275727143553</v>
      </c>
      <c r="AV28" s="47">
        <f t="shared" si="4"/>
        <v>19.503275727143553</v>
      </c>
      <c r="AW28" s="47">
        <f t="shared" si="4"/>
        <v>19.503275727143553</v>
      </c>
      <c r="AX28" s="77">
        <f>(1/3.5*AX11+1/3.5*AX12+1/3.5*AX13+0.5/3.5*AX14)*$K14</f>
        <v>19.503275727143553</v>
      </c>
      <c r="AY28" s="77">
        <f>(1/3.5*AY11+1/3.5*AY12+1/3.5*AY13+0.5/3.5*AY14)*$K14</f>
        <v>19.503275727143553</v>
      </c>
      <c r="AZ28" s="2">
        <v>4</v>
      </c>
    </row>
    <row r="29" spans="3:53" x14ac:dyDescent="0.25">
      <c r="T29" s="77">
        <f>(1/4.5*T11+1/4.5*T12+1/4.5*T13+1/4.5*T14+0.5/4.5*T15)*$K15</f>
        <v>14.23940070190487</v>
      </c>
      <c r="U29" s="77">
        <f t="shared" ref="U29:AJ29" si="9">(1/4.5*U11+1/4.5*U12+1/4.5*U13+1/4.5*U14+0.5/4.5*U15)*$K15</f>
        <v>14.23940070190487</v>
      </c>
      <c r="V29" s="77">
        <f t="shared" si="9"/>
        <v>14.23940070190487</v>
      </c>
      <c r="W29" s="77">
        <f t="shared" si="9"/>
        <v>14.23940070190487</v>
      </c>
      <c r="X29" s="77">
        <f t="shared" si="9"/>
        <v>14.23940070190487</v>
      </c>
      <c r="Y29" s="77">
        <f t="shared" si="9"/>
        <v>14.23940070190487</v>
      </c>
      <c r="Z29" s="77">
        <f t="shared" si="9"/>
        <v>15.389165975971721</v>
      </c>
      <c r="AA29" s="77">
        <f t="shared" si="9"/>
        <v>15.389165975971721</v>
      </c>
      <c r="AB29" s="77">
        <f t="shared" si="9"/>
        <v>15.389165975971721</v>
      </c>
      <c r="AC29" s="77">
        <f t="shared" si="9"/>
        <v>15.389165975971721</v>
      </c>
      <c r="AD29" s="77">
        <f t="shared" si="9"/>
        <v>15.389165975971721</v>
      </c>
      <c r="AE29" s="77">
        <f t="shared" si="9"/>
        <v>15.389165975971721</v>
      </c>
      <c r="AF29" s="77">
        <f t="shared" si="9"/>
        <v>15.389165975971721</v>
      </c>
      <c r="AG29" s="77">
        <f t="shared" si="9"/>
        <v>15.919826871694887</v>
      </c>
      <c r="AH29" s="77">
        <f t="shared" si="9"/>
        <v>15.919826871694887</v>
      </c>
      <c r="AI29" s="77">
        <f t="shared" si="9"/>
        <v>15.919826871694887</v>
      </c>
      <c r="AJ29" s="77">
        <f t="shared" si="9"/>
        <v>15.389165975971721</v>
      </c>
      <c r="AK29" s="47">
        <f t="shared" si="6"/>
        <v>3.1839653743389773</v>
      </c>
      <c r="AL29" s="47">
        <f t="shared" si="6"/>
        <v>3.1839653743389773</v>
      </c>
      <c r="AM29" s="47">
        <f t="shared" si="6"/>
        <v>11.939870153771166</v>
      </c>
      <c r="AN29" s="47">
        <f t="shared" si="6"/>
        <v>11.939870153771166</v>
      </c>
      <c r="AO29" s="47">
        <f t="shared" si="6"/>
        <v>11.939870153771166</v>
      </c>
      <c r="AP29" s="47">
        <f t="shared" si="6"/>
        <v>11.939870153771166</v>
      </c>
      <c r="AQ29" s="47">
        <f t="shared" si="6"/>
        <v>11.939870153771166</v>
      </c>
      <c r="AR29" s="47">
        <f t="shared" si="6"/>
        <v>12.258266691205062</v>
      </c>
      <c r="AS29" s="47">
        <f t="shared" si="6"/>
        <v>12.258266691205062</v>
      </c>
      <c r="AT29" s="47">
        <f t="shared" si="6"/>
        <v>12.258266691205062</v>
      </c>
      <c r="AU29" s="77">
        <f>(1/4.5*AU11+1/4.5*AU12+1/4.5*AU13+1/4.5*AU14+0.5/4.5*AU15)*$K15</f>
        <v>15.742939906453831</v>
      </c>
      <c r="AV29" s="47">
        <f t="shared" si="4"/>
        <v>13.531852840940653</v>
      </c>
      <c r="AW29" s="47">
        <f t="shared" si="4"/>
        <v>13.531852840940653</v>
      </c>
      <c r="AX29" s="77">
        <f>(1/4.5*AX11+1/4.5*AX12+1/4.5*AX13+1/4.5*AX14+0.5/4.5*AX15)*$K15</f>
        <v>15.742939906453831</v>
      </c>
      <c r="AY29" s="77">
        <f>(1/4.5*AY11+1/4.5*AY12+1/4.5*AY13+1/4.5*AY14+0.5/4.5*AY15)*$K15</f>
        <v>15.742939906453831</v>
      </c>
      <c r="AZ29" s="2">
        <v>5</v>
      </c>
    </row>
    <row r="30" spans="3:53" x14ac:dyDescent="0.25">
      <c r="T30" s="77">
        <f>(1/5.5*T11+1/5.5*T12+1/5.5*T13+1/5.5*T14+1/5.5*T15+0.5/5.5*T16)*$K16</f>
        <v>8.0969683926943681</v>
      </c>
      <c r="U30" s="77">
        <f t="shared" ref="U30:AJ30" si="10">(1/5.5*U11+1/5.5*U12+1/5.5*U13+1/5.5*U14+1/5.5*U15+0.5/5.5*U16)*$K16</f>
        <v>8.0969683926943681</v>
      </c>
      <c r="V30" s="77">
        <f t="shared" si="10"/>
        <v>8.0969683926943681</v>
      </c>
      <c r="W30" s="77">
        <v>0</v>
      </c>
      <c r="X30" s="77">
        <f t="shared" si="10"/>
        <v>7.7154358506302358</v>
      </c>
      <c r="Y30" s="77">
        <f t="shared" si="10"/>
        <v>7.7154358506302358</v>
      </c>
      <c r="Z30" s="77">
        <f t="shared" si="10"/>
        <v>8.7752484674750448</v>
      </c>
      <c r="AA30" s="77">
        <f t="shared" si="10"/>
        <v>8.7752484674750448</v>
      </c>
      <c r="AB30" s="77">
        <f t="shared" si="10"/>
        <v>8.7752484674750448</v>
      </c>
      <c r="AC30" s="77">
        <f t="shared" si="10"/>
        <v>8.7752484674750448</v>
      </c>
      <c r="AD30" s="77">
        <f t="shared" si="10"/>
        <v>8.7752484674750448</v>
      </c>
      <c r="AE30" s="77">
        <f t="shared" si="10"/>
        <v>8.7752484674750448</v>
      </c>
      <c r="AF30" s="77">
        <f t="shared" si="10"/>
        <v>8.7752484674750448</v>
      </c>
      <c r="AG30" s="77">
        <f t="shared" si="10"/>
        <v>9.1143885048653868</v>
      </c>
      <c r="AH30" s="77">
        <f t="shared" si="10"/>
        <v>9.1143885048653868</v>
      </c>
      <c r="AI30" s="77">
        <f t="shared" si="10"/>
        <v>9.1143885048653868</v>
      </c>
      <c r="AJ30" s="77">
        <f t="shared" si="10"/>
        <v>8.7752484674750448</v>
      </c>
      <c r="AK30" s="47">
        <f t="shared" si="6"/>
        <v>0.93263510282343487</v>
      </c>
      <c r="AL30" s="47">
        <f t="shared" si="6"/>
        <v>0.93263510282343487</v>
      </c>
      <c r="AM30" s="47">
        <f t="shared" si="6"/>
        <v>4.6631755141171745</v>
      </c>
      <c r="AN30" s="47">
        <f t="shared" si="6"/>
        <v>4.6631755141171745</v>
      </c>
      <c r="AO30" s="47">
        <f t="shared" si="6"/>
        <v>4.6631755141171745</v>
      </c>
      <c r="AP30" s="47">
        <f t="shared" si="6"/>
        <v>4.6631755141171745</v>
      </c>
      <c r="AQ30" s="47">
        <f t="shared" si="6"/>
        <v>4.6631755141171745</v>
      </c>
      <c r="AR30" s="47">
        <f t="shared" si="6"/>
        <v>4.8497025346818612</v>
      </c>
      <c r="AS30" s="47">
        <f t="shared" si="6"/>
        <v>4.8497025346818612</v>
      </c>
      <c r="AT30" s="47">
        <f t="shared" si="6"/>
        <v>4.8497025346818612</v>
      </c>
      <c r="AU30" s="77">
        <f>(1/5.5*AU11+1/5.5*AU12+1/5.5*AU13+1/5.5*AU14+1/5.5*AU15+0.5/5.5*AU16)*$K16</f>
        <v>8.9448184861702167</v>
      </c>
      <c r="AV30" s="47">
        <f t="shared" si="4"/>
        <v>4.942966044964205</v>
      </c>
      <c r="AW30" s="47">
        <f t="shared" si="4"/>
        <v>4.942966044964205</v>
      </c>
      <c r="AX30" s="77">
        <f>(1/5.5*AX11+1/5.5*AX12+1/5.5*AX13+1/5.5*AX14+1/5.5*AX15+0.5/5.5*AX16)*$K16</f>
        <v>8.9448184861702167</v>
      </c>
      <c r="AY30" s="77">
        <f>(1/5.5*AY11+1/5.5*AY12+1/5.5*AY13+1/5.5*AY14+1/5.5*AY15+0.5/5.5*AY16)*$K16</f>
        <v>8.9448184861702167</v>
      </c>
      <c r="AZ30" s="2">
        <v>6</v>
      </c>
    </row>
    <row r="31" spans="3:53" x14ac:dyDescent="0.25">
      <c r="T31" s="77">
        <f>(1/6.5*T11+1/6.5*T12+1/6.5*T13+1/6.5*T14+1/6.5*T15+1/6.5*T16+0.5/6.5*T17)*$K17</f>
        <v>4.686716359359643</v>
      </c>
      <c r="U31" s="77">
        <f t="shared" ref="U31:AJ31" si="11">(1/6.5*U11+1/6.5*U12+1/6.5*U13+1/6.5*U14+1/6.5*U15+1/6.5*U16+0.5/6.5*U17)*$K17</f>
        <v>4.686716359359643</v>
      </c>
      <c r="V31" s="77">
        <f t="shared" si="11"/>
        <v>4.686716359359643</v>
      </c>
      <c r="W31" s="77">
        <v>0</v>
      </c>
      <c r="X31" s="77">
        <f t="shared" si="11"/>
        <v>4.1141311027862928</v>
      </c>
      <c r="Y31" s="77">
        <f t="shared" si="11"/>
        <v>4.1141311027862928</v>
      </c>
      <c r="Z31" s="77">
        <f t="shared" si="11"/>
        <v>5.0260261410327391</v>
      </c>
      <c r="AA31" s="77">
        <f t="shared" si="11"/>
        <v>5.0260261410327391</v>
      </c>
      <c r="AB31" s="77">
        <f t="shared" si="11"/>
        <v>5.0260261410327391</v>
      </c>
      <c r="AC31" s="77">
        <f t="shared" si="11"/>
        <v>5.0260261410327391</v>
      </c>
      <c r="AD31" s="77">
        <f t="shared" si="11"/>
        <v>5.0260261410327391</v>
      </c>
      <c r="AE31" s="77">
        <f t="shared" si="11"/>
        <v>5.0260261410327391</v>
      </c>
      <c r="AF31" s="77">
        <f t="shared" si="11"/>
        <v>5.0260261410327391</v>
      </c>
      <c r="AG31" s="77">
        <f t="shared" si="11"/>
        <v>5.1956810318692872</v>
      </c>
      <c r="AH31" s="77">
        <f t="shared" si="11"/>
        <v>5.1956810318692872</v>
      </c>
      <c r="AI31" s="77">
        <f t="shared" si="11"/>
        <v>5.1956810318692872</v>
      </c>
      <c r="AJ31" s="77">
        <f t="shared" si="11"/>
        <v>5.0260261410327391</v>
      </c>
      <c r="AK31" s="47">
        <f t="shared" si="6"/>
        <v>0</v>
      </c>
      <c r="AL31" s="47">
        <f t="shared" si="6"/>
        <v>0</v>
      </c>
      <c r="AM31" s="47">
        <f t="shared" si="6"/>
        <v>2.2055135808751261</v>
      </c>
      <c r="AN31" s="47">
        <f t="shared" si="6"/>
        <v>2.481202778484517</v>
      </c>
      <c r="AO31" s="47">
        <f t="shared" si="6"/>
        <v>2.481202778484517</v>
      </c>
      <c r="AP31" s="47">
        <f t="shared" si="6"/>
        <v>2.481202778484517</v>
      </c>
      <c r="AQ31" s="47">
        <f t="shared" si="6"/>
        <v>2.481202778484517</v>
      </c>
      <c r="AR31" s="47">
        <f t="shared" si="6"/>
        <v>2.591478457528273</v>
      </c>
      <c r="AS31" s="47">
        <f t="shared" si="6"/>
        <v>2.591478457528273</v>
      </c>
      <c r="AT31" s="47">
        <f t="shared" si="6"/>
        <v>2.591478457528273</v>
      </c>
      <c r="AU31" s="77">
        <f>(1/6.5*AU11+1/6.5*AU12+1/6.5*AU13+1/6.5*AU14+1/6.5*AU15+1/6.5*AU16+0.5/6.5*AU17)*$K17</f>
        <v>5.1108535864510136</v>
      </c>
      <c r="AV31" s="47">
        <f t="shared" si="4"/>
        <v>2.591478457528273</v>
      </c>
      <c r="AW31" s="47">
        <f t="shared" si="4"/>
        <v>2.591478457528273</v>
      </c>
      <c r="AX31" s="77">
        <f>(1/6.5*AX11+1/6.5*AX12+1/6.5*AX13+1/6.5*AX14+1/6.5*AX15+1/6.5*AX16+0.5/6.5*AX17)*$K17</f>
        <v>5.1108535864510136</v>
      </c>
      <c r="AY31" s="77">
        <f>(1/6.5*AY11+1/6.5*AY12+1/6.5*AY13+1/6.5*AY14+1/6.5*AY15+1/6.5*AY16+0.5/6.5*AY17)*$K17</f>
        <v>5.1108535864510136</v>
      </c>
      <c r="AZ31" s="2">
        <v>7</v>
      </c>
    </row>
    <row r="32" spans="3:53" x14ac:dyDescent="0.25">
      <c r="T32" s="77">
        <f>(1/7.5*T11+1/7.5*T12+1/7.5*T13+1/7.5*T14+1/7.5*T15+1/7.5*T16+1/7.5*T17+0.5/7.5*T18)*$K18</f>
        <v>2.784432074183544</v>
      </c>
      <c r="U32" s="77">
        <f t="shared" ref="U32:AJ32" si="12">(1/7.5*U11+1/7.5*U12+1/7.5*U13+1/7.5*U14+1/7.5*U15+1/7.5*U16+1/7.5*U17+0.5/7.5*U18)*$K18</f>
        <v>2.784432074183544</v>
      </c>
      <c r="V32" s="77">
        <f t="shared" si="12"/>
        <v>2.784432074183544</v>
      </c>
      <c r="W32" s="77">
        <v>0</v>
      </c>
      <c r="X32" s="77">
        <f t="shared" si="12"/>
        <v>2.2852311047084064</v>
      </c>
      <c r="Y32" s="77">
        <f t="shared" si="12"/>
        <v>2.2852311047084064</v>
      </c>
      <c r="Z32" s="77">
        <f t="shared" si="12"/>
        <v>2.9619257522191482</v>
      </c>
      <c r="AA32" s="77">
        <f t="shared" si="12"/>
        <v>2.9619257522191482</v>
      </c>
      <c r="AB32" s="77">
        <f t="shared" si="12"/>
        <v>2.9619257522191482</v>
      </c>
      <c r="AC32" s="77">
        <f t="shared" si="12"/>
        <v>2.9619257522191482</v>
      </c>
      <c r="AD32" s="77">
        <f t="shared" si="12"/>
        <v>2.9619257522191482</v>
      </c>
      <c r="AE32" s="77">
        <f t="shared" si="12"/>
        <v>2.9619257522191482</v>
      </c>
      <c r="AF32" s="77">
        <f t="shared" si="12"/>
        <v>2.9619257522191482</v>
      </c>
      <c r="AG32" s="77">
        <f t="shared" si="12"/>
        <v>3.0506725912369506</v>
      </c>
      <c r="AH32" s="77">
        <f t="shared" si="12"/>
        <v>3.0506725912369506</v>
      </c>
      <c r="AI32" s="77">
        <f t="shared" si="12"/>
        <v>3.0506725912369506</v>
      </c>
      <c r="AJ32" s="77">
        <f t="shared" si="12"/>
        <v>2.9619257522191482</v>
      </c>
      <c r="AK32" s="47">
        <f t="shared" si="6"/>
        <v>0</v>
      </c>
      <c r="AL32" s="47">
        <f t="shared" si="6"/>
        <v>0</v>
      </c>
      <c r="AM32" s="47">
        <f t="shared" si="6"/>
        <v>0</v>
      </c>
      <c r="AN32" s="47">
        <f t="shared" si="6"/>
        <v>1.4976029084254119</v>
      </c>
      <c r="AO32" s="47">
        <f t="shared" si="6"/>
        <v>1.4976029084254119</v>
      </c>
      <c r="AP32" s="47">
        <f t="shared" si="6"/>
        <v>1.4976029084254119</v>
      </c>
      <c r="AQ32" s="47">
        <f t="shared" si="6"/>
        <v>1.4976029084254119</v>
      </c>
      <c r="AR32" s="47">
        <f t="shared" si="6"/>
        <v>1.5641630376887636</v>
      </c>
      <c r="AS32" s="47">
        <f t="shared" si="6"/>
        <v>1.5641630376887636</v>
      </c>
      <c r="AT32" s="47">
        <f t="shared" si="6"/>
        <v>1.5641630376887636</v>
      </c>
      <c r="AU32" s="77">
        <f>(1/7.5*AU11+1/7.5*AU12+1/7.5*AU13+1/7.5*AU14+1/7.5*AU15+1/7.5*AU16+1/7.5*AU17+0.5/7.5*AU18)*$K18</f>
        <v>3.0062991717280494</v>
      </c>
      <c r="AV32" s="47">
        <f t="shared" si="4"/>
        <v>1.5641630376887636</v>
      </c>
      <c r="AW32" s="47">
        <f t="shared" si="4"/>
        <v>1.5641630376887636</v>
      </c>
      <c r="AX32" s="77">
        <f>(1/7.5*AX11+1/7.5*AX12+1/7.5*AX13+1/7.5*AX14+1/7.5*AX15+1/7.5*AX16+1/7.5*AX17+0.5/7.5*AX18)*$K18</f>
        <v>3.0062991717280494</v>
      </c>
      <c r="AY32" s="77">
        <f>(1/7.5*AY11+1/7.5*AY12+1/7.5*AY13+1/7.5*AY14+1/7.5*AY15+1/7.5*AY16+1/7.5*AY17+0.5/7.5*AY18)*$K18</f>
        <v>3.0062991717280494</v>
      </c>
      <c r="AZ32" s="2">
        <v>8</v>
      </c>
    </row>
    <row r="33" spans="8:52" x14ac:dyDescent="0.25">
      <c r="T33" s="77">
        <f>(1/8.5*T11+1/8.5*T12+1/8.5*T13+1/8.5*T14+1/8.5*T15+1/8.5*T16+1/8.5*T17+1/8.5*T18+0.5/8.5*T19)*$K19</f>
        <v>1.8828165225341946</v>
      </c>
      <c r="U33" s="77">
        <f t="shared" ref="U33:AJ33" si="13">(1/8.5*U11+1/8.5*U12+1/8.5*U13+1/8.5*U14+1/8.5*U15+1/8.5*U16+1/8.5*U17+1/8.5*U18+0.5/8.5*U19)*$K19</f>
        <v>1.8828165225341946</v>
      </c>
      <c r="V33" s="77">
        <f t="shared" si="13"/>
        <v>1.8828165225341946</v>
      </c>
      <c r="W33" s="77">
        <v>0</v>
      </c>
      <c r="X33" s="77">
        <f t="shared" si="13"/>
        <v>1.4204879102393213</v>
      </c>
      <c r="Y33" s="77">
        <f t="shared" si="13"/>
        <v>1.4204879102393213</v>
      </c>
      <c r="Z33" s="77">
        <f t="shared" si="13"/>
        <v>1.9900231572692375</v>
      </c>
      <c r="AA33" s="77">
        <f t="shared" si="13"/>
        <v>1.9900231572692375</v>
      </c>
      <c r="AB33" s="77">
        <f t="shared" si="13"/>
        <v>1.9900231572692375</v>
      </c>
      <c r="AC33" s="77">
        <f t="shared" si="13"/>
        <v>1.9900231572692375</v>
      </c>
      <c r="AD33" s="77">
        <f t="shared" si="13"/>
        <v>1.9900231572692375</v>
      </c>
      <c r="AE33" s="77">
        <f t="shared" si="13"/>
        <v>1.9900231572692375</v>
      </c>
      <c r="AF33" s="77">
        <f t="shared" si="13"/>
        <v>1.9900231572692375</v>
      </c>
      <c r="AG33" s="77">
        <v>0</v>
      </c>
      <c r="AH33" s="77">
        <f t="shared" si="13"/>
        <v>2.0436264746367589</v>
      </c>
      <c r="AI33" s="77">
        <f t="shared" si="13"/>
        <v>2.0436264746367589</v>
      </c>
      <c r="AJ33" s="77">
        <f t="shared" si="13"/>
        <v>1.9900231572692375</v>
      </c>
      <c r="AK33" s="47">
        <f t="shared" si="6"/>
        <v>0</v>
      </c>
      <c r="AL33" s="47">
        <f t="shared" si="6"/>
        <v>0</v>
      </c>
      <c r="AM33" s="47">
        <f t="shared" si="6"/>
        <v>0</v>
      </c>
      <c r="AN33" s="47">
        <f t="shared" si="6"/>
        <v>1.0251634446538498</v>
      </c>
      <c r="AO33" s="47">
        <f t="shared" si="6"/>
        <v>1.0251634446538498</v>
      </c>
      <c r="AP33" s="47">
        <f t="shared" si="6"/>
        <v>1.0251634446538498</v>
      </c>
      <c r="AQ33" s="47">
        <f t="shared" si="6"/>
        <v>1.0251634446538498</v>
      </c>
      <c r="AR33" s="47">
        <f t="shared" si="6"/>
        <v>1.0251634446538498</v>
      </c>
      <c r="AS33" s="47">
        <f t="shared" si="6"/>
        <v>1.0251634446538498</v>
      </c>
      <c r="AT33" s="47">
        <f t="shared" si="6"/>
        <v>1.0251634446538498</v>
      </c>
      <c r="AU33" s="77">
        <f>(1/8.5*AU11+1/8.5*AU12+1/8.5*AU13+1/8.5*AU14+1/8.5*AU15+1/8.5*AU16+1/8.5*AU17+1/8.5*AU18+0.5/8.5*AU19)*$K19</f>
        <v>2.0168248159529982</v>
      </c>
      <c r="AV33" s="47">
        <f t="shared" si="4"/>
        <v>0.8429121656042764</v>
      </c>
      <c r="AW33" s="47">
        <f t="shared" si="4"/>
        <v>0.8429121656042764</v>
      </c>
      <c r="AX33" s="77">
        <f>(1/8.5*AX11+1/8.5*AX12+1/8.5*AX13+1/8.5*AX14+1/8.5*AX15+1/8.5*AX16+1/8.5*AX17+1/8.5*AX18+0.5/8.5*AX19)*$K19</f>
        <v>2.0168248159529982</v>
      </c>
      <c r="AY33" s="77">
        <f>(1/8.5*AY11+1/8.5*AY12+1/8.5*AY13+1/8.5*AY14+1/8.5*AY15+1/8.5*AY16+1/8.5*AY17+1/8.5*AY18+0.5/8.5*AY19)*$K19</f>
        <v>2.0168248159529982</v>
      </c>
      <c r="AZ33" s="2">
        <v>9</v>
      </c>
    </row>
    <row r="34" spans="8:52" x14ac:dyDescent="0.25">
      <c r="T34" s="77">
        <f>(1/9.5*T11+1/9.5*T12+1/9.5*T13+1/9.5*T14+1/9.5*T15+1/9.5*T16+1/9.5*T17+1/9.5*T18+1/9.5*T19+0.5/9.5*T20)*$K20</f>
        <v>1.499435028693838</v>
      </c>
      <c r="U34" s="77">
        <f t="shared" ref="U34:AJ34" si="14">(1/9.5*U11+1/9.5*U12+1/9.5*U13+1/9.5*U14+1/9.5*U15+1/9.5*U16+1/9.5*U17+1/9.5*U18+1/9.5*U19+0.5/9.5*U20)*$K20</f>
        <v>1.499435028693838</v>
      </c>
      <c r="V34" s="77">
        <f t="shared" si="14"/>
        <v>1.499435028693838</v>
      </c>
      <c r="W34" s="77">
        <v>0</v>
      </c>
      <c r="X34" s="77">
        <f t="shared" si="14"/>
        <v>1.0221229134504619</v>
      </c>
      <c r="Y34" s="77">
        <f t="shared" si="14"/>
        <v>1.0221229134504619</v>
      </c>
      <c r="Z34" s="77">
        <f t="shared" si="14"/>
        <v>1.5765763806523638</v>
      </c>
      <c r="AA34" s="77">
        <f t="shared" si="14"/>
        <v>1.5765763806523638</v>
      </c>
      <c r="AB34" s="77">
        <f t="shared" si="14"/>
        <v>1.5765763806523638</v>
      </c>
      <c r="AC34" s="77">
        <f t="shared" si="14"/>
        <v>1.5765763806523638</v>
      </c>
      <c r="AD34" s="77">
        <f t="shared" si="14"/>
        <v>1.5765763806523638</v>
      </c>
      <c r="AE34" s="77">
        <f t="shared" si="14"/>
        <v>1.5765763806523638</v>
      </c>
      <c r="AF34" s="77">
        <f t="shared" si="14"/>
        <v>1.5765763806523638</v>
      </c>
      <c r="AG34" s="77">
        <v>0</v>
      </c>
      <c r="AH34" s="77">
        <f t="shared" si="14"/>
        <v>1.6151470566316266</v>
      </c>
      <c r="AI34" s="77">
        <f t="shared" si="14"/>
        <v>1.6151470566316266</v>
      </c>
      <c r="AJ34" s="77">
        <f t="shared" si="14"/>
        <v>1.5765763806523638</v>
      </c>
      <c r="AK34" s="47">
        <f t="shared" si="6"/>
        <v>0</v>
      </c>
      <c r="AL34" s="47">
        <f t="shared" si="6"/>
        <v>0</v>
      </c>
      <c r="AM34" s="47">
        <f t="shared" si="6"/>
        <v>0</v>
      </c>
      <c r="AN34" s="47">
        <f t="shared" si="6"/>
        <v>0.82444819905674083</v>
      </c>
      <c r="AO34" s="47">
        <f t="shared" si="6"/>
        <v>0.82444819905674083</v>
      </c>
      <c r="AP34" s="47">
        <f t="shared" si="6"/>
        <v>0.82444819905674083</v>
      </c>
      <c r="AQ34" s="47">
        <f t="shared" si="6"/>
        <v>0.82444819905674083</v>
      </c>
      <c r="AR34" s="47">
        <f t="shared" si="6"/>
        <v>0.73284284360599183</v>
      </c>
      <c r="AS34" s="47">
        <f t="shared" si="6"/>
        <v>0.73284284360599183</v>
      </c>
      <c r="AT34" s="47">
        <f t="shared" si="6"/>
        <v>0.73284284360599183</v>
      </c>
      <c r="AU34" s="77">
        <f>(1/9.5*AU11+1/9.5*AU12+1/9.5*AU13+1/9.5*AU14+1/9.5*AU15+1/9.5*AU16+1/9.5*AU17+1/9.5*AU18+1/9.5*AU19+0.5/9.5*AU20)*$K20</f>
        <v>1.5958617186419952</v>
      </c>
      <c r="AV34" s="47">
        <f t="shared" si="4"/>
        <v>0.67787963033554244</v>
      </c>
      <c r="AW34" s="47">
        <f t="shared" si="4"/>
        <v>0.67787963033554244</v>
      </c>
      <c r="AX34" s="77">
        <f>(1/9.5*AX11+1/9.5*AX12+1/9.5*AX13+1/9.5*AX14+1/9.5*AX15+1/9.5*AX16+1/9.5*AX17+1/9.5*AX18+1/9.5*AX19+0.5/9.5*AX20)*$K20</f>
        <v>1.5958617186419952</v>
      </c>
      <c r="AY34" s="77">
        <f>(1/9.5*AY11+1/9.5*AY12+1/9.5*AY13+1/9.5*AY14+1/9.5*AY15+1/9.5*AY16+1/9.5*AY17+1/9.5*AY18+1/9.5*AY19+0.5/9.5*AY20)*$K20</f>
        <v>1.5958617186419952</v>
      </c>
      <c r="AZ34" s="2">
        <v>10</v>
      </c>
    </row>
    <row r="35" spans="8:52" x14ac:dyDescent="0.25">
      <c r="T35" s="77">
        <f>(1/10.5*T11+1/10.5*T12+1/10.5*T13+1/10.5*T14+1/10.5*T15+1/10.5*T16+1/10.5*T17+1/10.5*T18+1/10.5*T19+1/10.5*T20+0.5/10.5*T21)*$K21</f>
        <v>6.0082548177076749</v>
      </c>
      <c r="U35" s="77">
        <f t="shared" ref="U35:AJ35" si="15">(1/10.5*U11+1/10.5*U12+1/10.5*U13+1/10.5*U14+1/10.5*U15+1/10.5*U16+1/10.5*U17+1/10.5*U18+1/10.5*U19+1/10.5*U20+0.5/10.5*U21)*$K21</f>
        <v>6.0082548177076749</v>
      </c>
      <c r="V35" s="77">
        <f t="shared" si="15"/>
        <v>6.0082548177076749</v>
      </c>
      <c r="W35" s="77">
        <v>0</v>
      </c>
      <c r="X35" s="77">
        <f t="shared" si="15"/>
        <v>3.7353373060235402</v>
      </c>
      <c r="Y35" s="77">
        <f t="shared" si="15"/>
        <v>3.7353373060235402</v>
      </c>
      <c r="Z35" s="77">
        <f t="shared" si="15"/>
        <v>6.2901670672188859</v>
      </c>
      <c r="AA35" s="77">
        <f t="shared" si="15"/>
        <v>6.2901670672188859</v>
      </c>
      <c r="AB35" s="77">
        <f t="shared" si="15"/>
        <v>6.2901670672188859</v>
      </c>
      <c r="AC35" s="77">
        <f t="shared" si="15"/>
        <v>6.2901670672188859</v>
      </c>
      <c r="AD35" s="77">
        <f t="shared" si="15"/>
        <v>6.2901670672188859</v>
      </c>
      <c r="AE35" s="77">
        <f t="shared" si="15"/>
        <v>6.2901670672188859</v>
      </c>
      <c r="AF35" s="77">
        <f t="shared" si="15"/>
        <v>6.2901670672188859</v>
      </c>
      <c r="AG35" s="77">
        <v>0</v>
      </c>
      <c r="AH35" s="77">
        <f t="shared" si="15"/>
        <v>6.4311231919744918</v>
      </c>
      <c r="AI35" s="77">
        <f t="shared" si="15"/>
        <v>6.4311231919744918</v>
      </c>
      <c r="AJ35" s="77">
        <f t="shared" si="15"/>
        <v>6.2901670672188859</v>
      </c>
      <c r="AK35" s="47">
        <f t="shared" si="6"/>
        <v>0</v>
      </c>
      <c r="AL35" s="47">
        <f t="shared" si="6"/>
        <v>0</v>
      </c>
      <c r="AM35" s="47">
        <f t="shared" si="6"/>
        <v>0</v>
      </c>
      <c r="AN35" s="47">
        <f t="shared" si="6"/>
        <v>3.330088447351176</v>
      </c>
      <c r="AO35" s="47">
        <f t="shared" si="6"/>
        <v>3.330088447351176</v>
      </c>
      <c r="AP35" s="47">
        <f t="shared" si="6"/>
        <v>3.330088447351176</v>
      </c>
      <c r="AQ35" s="47">
        <f t="shared" si="6"/>
        <v>3.330088447351176</v>
      </c>
      <c r="AR35" s="47">
        <f t="shared" si="6"/>
        <v>2.960078619867712</v>
      </c>
      <c r="AS35" s="47">
        <f t="shared" si="6"/>
        <v>2.960078619867712</v>
      </c>
      <c r="AT35" s="47">
        <f t="shared" si="6"/>
        <v>2.960078619867712</v>
      </c>
      <c r="AU35" s="77">
        <f>(1/10.5*AU11+1/10.5*AU12+1/10.5*AU13+1/10.5*AU14+1/10.5*AU15+1/10.5*AU16+1/10.5*AU17+1/10.5*AU18+1/10.5*AU19+1/10.5*AU20+0.5/10.5*AU21)*$K21</f>
        <v>6.3606451295966897</v>
      </c>
      <c r="AV35" s="47">
        <f t="shared" si="4"/>
        <v>2.3680628958941696</v>
      </c>
      <c r="AW35" s="47">
        <f t="shared" si="4"/>
        <v>1.6280432409272416</v>
      </c>
      <c r="AX35" s="77">
        <f>(1/10.5*AX11+1/10.5*AX12+1/10.5*AX13+1/10.5*AX14+1/10.5*AX15+1/10.5*AX16+1/10.5*AX17+1/10.5*AX18+1/10.5*AX19+1/10.5*AX20+0.5/10.5*AX21)*$K21</f>
        <v>6.3606451295966897</v>
      </c>
      <c r="AY35" s="77">
        <f>(1/10.5*AY11+1/10.5*AY12+1/10.5*AY13+1/10.5*AY14+1/10.5*AY15+1/10.5*AY16+1/10.5*AY17+1/10.5*AY18+1/10.5*AY19+1/10.5*AY20+0.5/10.5*AY21)*$K21</f>
        <v>6.3606451295966897</v>
      </c>
      <c r="AZ35" s="58" t="s">
        <v>46</v>
      </c>
    </row>
    <row r="36" spans="8:52" x14ac:dyDescent="0.25">
      <c r="T36" s="68">
        <v>1995</v>
      </c>
      <c r="U36" s="68">
        <v>1996</v>
      </c>
      <c r="V36" s="68">
        <v>1997</v>
      </c>
      <c r="W36" s="68">
        <v>1998</v>
      </c>
      <c r="X36" s="68">
        <v>1999</v>
      </c>
      <c r="Y36" s="68">
        <v>2000</v>
      </c>
      <c r="Z36" s="68">
        <v>2001</v>
      </c>
      <c r="AA36" s="68">
        <v>2002</v>
      </c>
      <c r="AB36" s="68">
        <v>2003</v>
      </c>
      <c r="AC36" s="68">
        <v>2004</v>
      </c>
      <c r="AD36" s="68">
        <v>2005</v>
      </c>
      <c r="AE36" s="68">
        <v>2006</v>
      </c>
      <c r="AF36" s="68">
        <v>2007</v>
      </c>
      <c r="AG36" s="68">
        <v>2008</v>
      </c>
      <c r="AH36" s="68">
        <v>2009</v>
      </c>
      <c r="AI36" s="68">
        <v>2010</v>
      </c>
      <c r="AJ36" s="68">
        <v>2011</v>
      </c>
      <c r="AK36" s="68">
        <v>2012</v>
      </c>
      <c r="AL36" s="68">
        <v>2013</v>
      </c>
      <c r="AM36" s="68">
        <v>2014</v>
      </c>
      <c r="AN36" s="68">
        <v>2015</v>
      </c>
      <c r="AO36" s="68">
        <v>2016</v>
      </c>
      <c r="AP36" s="68">
        <v>2017</v>
      </c>
      <c r="AQ36" s="68">
        <v>2018</v>
      </c>
      <c r="AR36" s="68">
        <v>2019</v>
      </c>
      <c r="AS36" s="68">
        <v>2020</v>
      </c>
      <c r="AT36" s="68">
        <v>2021</v>
      </c>
      <c r="AU36" s="68">
        <v>2022</v>
      </c>
      <c r="AV36" s="68">
        <v>2023</v>
      </c>
      <c r="AW36" s="68">
        <v>2024</v>
      </c>
      <c r="AX36" s="68">
        <v>2025</v>
      </c>
      <c r="AY36" s="68" t="s">
        <v>52</v>
      </c>
    </row>
    <row r="37" spans="8:52" x14ac:dyDescent="0.25">
      <c r="S37" s="47" t="s">
        <v>51</v>
      </c>
      <c r="T37" s="128">
        <f>SUM(T25:T35)</f>
        <v>91.937973712443608</v>
      </c>
      <c r="U37" s="128">
        <f t="shared" ref="U37:AT37" si="16">SUM(U25:U35)</f>
        <v>91.937973712443608</v>
      </c>
      <c r="V37" s="128">
        <f t="shared" si="16"/>
        <v>91.937973712443608</v>
      </c>
      <c r="W37" s="128">
        <f t="shared" si="16"/>
        <v>66.979350517270348</v>
      </c>
      <c r="X37" s="128">
        <f t="shared" si="16"/>
        <v>87.272096705108581</v>
      </c>
      <c r="Y37" s="128">
        <f t="shared" si="16"/>
        <v>87.272096705108581</v>
      </c>
      <c r="Z37" s="128">
        <f t="shared" si="16"/>
        <v>96.132101755077116</v>
      </c>
      <c r="AA37" s="128">
        <f t="shared" si="16"/>
        <v>96.132101755077116</v>
      </c>
      <c r="AB37" s="128">
        <f t="shared" si="16"/>
        <v>96.132101755077116</v>
      </c>
      <c r="AC37" s="128">
        <f t="shared" si="16"/>
        <v>96.132101755077116</v>
      </c>
      <c r="AD37" s="128">
        <f t="shared" si="16"/>
        <v>96.132101755077116</v>
      </c>
      <c r="AE37" s="128">
        <f t="shared" si="16"/>
        <v>96.132101755077116</v>
      </c>
      <c r="AF37" s="128">
        <f t="shared" si="16"/>
        <v>96.132101755077116</v>
      </c>
      <c r="AG37" s="128">
        <f t="shared" si="16"/>
        <v>87.68215603757794</v>
      </c>
      <c r="AH37" s="128">
        <f t="shared" si="16"/>
        <v>97.772052760820813</v>
      </c>
      <c r="AI37" s="128">
        <f t="shared" si="16"/>
        <v>97.772052760820813</v>
      </c>
      <c r="AJ37" s="128">
        <f t="shared" si="16"/>
        <v>96.132101755077116</v>
      </c>
      <c r="AK37" s="128">
        <f t="shared" si="16"/>
        <v>46.816222078787717</v>
      </c>
      <c r="AL37" s="128">
        <f t="shared" si="16"/>
        <v>46.816222078787717</v>
      </c>
      <c r="AM37" s="128">
        <f t="shared" si="16"/>
        <v>72.234982500317713</v>
      </c>
      <c r="AN37" s="128">
        <f t="shared" si="16"/>
        <v>79.18797469741429</v>
      </c>
      <c r="AO37" s="128">
        <f t="shared" si="16"/>
        <v>79.18797469741429</v>
      </c>
      <c r="AP37" s="128">
        <f t="shared" si="16"/>
        <v>79.18797469741429</v>
      </c>
      <c r="AQ37" s="128">
        <f t="shared" si="16"/>
        <v>79.18797469741429</v>
      </c>
      <c r="AR37" s="128">
        <f t="shared" si="16"/>
        <v>79.798184395328661</v>
      </c>
      <c r="AS37" s="128">
        <f t="shared" si="16"/>
        <v>80.383282667142964</v>
      </c>
      <c r="AT37" s="128">
        <f t="shared" si="16"/>
        <v>80.383282667142964</v>
      </c>
      <c r="AU37" s="135">
        <v>97.179829852906238</v>
      </c>
      <c r="AV37" s="135">
        <v>97.179829852906238</v>
      </c>
      <c r="AW37" s="135">
        <v>97.179829852906238</v>
      </c>
      <c r="AX37" s="128">
        <f>SUM(AX25:AX35)</f>
        <v>97.179829852906238</v>
      </c>
      <c r="AY37" s="128">
        <f>SUM(AY25:AY35)</f>
        <v>97.179829852906238</v>
      </c>
    </row>
    <row r="38" spans="8:52" x14ac:dyDescent="0.25">
      <c r="P38" s="76" t="s">
        <v>84</v>
      </c>
      <c r="S38" s="47" t="s">
        <v>53</v>
      </c>
      <c r="T38" s="47">
        <v>5.4</v>
      </c>
      <c r="U38" s="47">
        <v>3.9</v>
      </c>
      <c r="V38" s="77">
        <v>1.7</v>
      </c>
      <c r="W38" s="77">
        <v>1.8</v>
      </c>
      <c r="X38" s="77">
        <v>1.6</v>
      </c>
      <c r="Y38" s="77">
        <v>2.6</v>
      </c>
      <c r="Z38" s="77">
        <v>2.7</v>
      </c>
      <c r="AA38" s="77">
        <v>2.4</v>
      </c>
      <c r="AB38" s="77">
        <v>2.5</v>
      </c>
      <c r="AC38" s="77">
        <v>2</v>
      </c>
      <c r="AD38" s="77">
        <v>1.7</v>
      </c>
      <c r="AE38" s="77">
        <v>2</v>
      </c>
      <c r="AF38" s="77">
        <v>1.7</v>
      </c>
      <c r="AG38" s="77">
        <v>3.2</v>
      </c>
      <c r="AH38" s="77">
        <v>0.7</v>
      </c>
      <c r="AI38" s="77">
        <v>1.6</v>
      </c>
      <c r="AJ38" s="77">
        <v>2.7</v>
      </c>
      <c r="AK38" s="77">
        <v>3</v>
      </c>
      <c r="AL38" s="77">
        <v>1.1000000000000001</v>
      </c>
      <c r="AM38" s="77">
        <v>0.2</v>
      </c>
      <c r="AN38" s="77">
        <v>-0.1</v>
      </c>
      <c r="AO38" s="77">
        <v>-0.1</v>
      </c>
      <c r="AP38" s="77">
        <v>1.1000000000000001</v>
      </c>
      <c r="AQ38" s="77">
        <v>1.1000000000000001</v>
      </c>
      <c r="AR38" s="77">
        <v>0.5</v>
      </c>
      <c r="AS38" s="77">
        <v>-0.3</v>
      </c>
      <c r="AT38" s="77">
        <v>1.9</v>
      </c>
      <c r="AU38" s="77">
        <v>8.1</v>
      </c>
      <c r="AV38" s="77">
        <v>5.4</v>
      </c>
      <c r="AW38" s="77">
        <v>0.8</v>
      </c>
      <c r="AX38" s="47"/>
      <c r="AY38" s="47"/>
    </row>
    <row r="39" spans="8:52" x14ac:dyDescent="0.25">
      <c r="S39" s="47" t="s">
        <v>88</v>
      </c>
      <c r="T39" s="72">
        <v>125427</v>
      </c>
      <c r="U39" s="72">
        <v>137810</v>
      </c>
      <c r="V39" s="72">
        <v>149393</v>
      </c>
      <c r="W39" s="72">
        <v>151433</v>
      </c>
      <c r="X39" s="72">
        <v>160511</v>
      </c>
      <c r="Y39" s="72">
        <v>164488</v>
      </c>
      <c r="Z39" s="72">
        <v>172210</v>
      </c>
      <c r="AA39" s="72">
        <v>180504</v>
      </c>
      <c r="AB39" s="72">
        <v>187772</v>
      </c>
      <c r="AC39" s="72">
        <v>195244</v>
      </c>
      <c r="AD39" s="72">
        <v>202110</v>
      </c>
      <c r="AE39" s="72">
        <v>209153</v>
      </c>
      <c r="AF39" s="72">
        <v>216876</v>
      </c>
      <c r="AG39" s="72">
        <v>225353</v>
      </c>
      <c r="AH39" s="72">
        <v>234276</v>
      </c>
      <c r="AI39" s="72">
        <v>239901</v>
      </c>
      <c r="AJ39" s="72">
        <v>246259</v>
      </c>
      <c r="AK39" s="72">
        <v>251648</v>
      </c>
      <c r="AL39" s="72">
        <v>256825</v>
      </c>
      <c r="AM39" s="72">
        <v>258517</v>
      </c>
      <c r="AN39" s="72">
        <v>260503</v>
      </c>
      <c r="AO39" s="72">
        <v>262203</v>
      </c>
      <c r="AP39" s="72">
        <v>264875</v>
      </c>
      <c r="AQ39" s="72">
        <v>269739</v>
      </c>
      <c r="AR39" s="72">
        <v>276074</v>
      </c>
      <c r="AS39" s="72">
        <v>282501</v>
      </c>
      <c r="AT39" s="72">
        <v>287243</v>
      </c>
      <c r="AU39" s="72">
        <v>297809</v>
      </c>
      <c r="AV39" s="72">
        <v>319383</v>
      </c>
      <c r="AW39" s="72">
        <v>336869</v>
      </c>
      <c r="AX39" s="47"/>
      <c r="AY39" s="47"/>
    </row>
    <row r="40" spans="8:52" x14ac:dyDescent="0.25">
      <c r="S40" s="82" t="s">
        <v>79</v>
      </c>
      <c r="T40" s="87">
        <f>T39*98.5%</f>
        <v>123545.595</v>
      </c>
      <c r="U40" s="87">
        <f t="shared" ref="U40:AS40" si="17">U39*98.5%</f>
        <v>135742.85</v>
      </c>
      <c r="V40" s="87">
        <f t="shared" si="17"/>
        <v>147152.10500000001</v>
      </c>
      <c r="W40" s="87">
        <f t="shared" si="17"/>
        <v>149161.505</v>
      </c>
      <c r="X40" s="87">
        <f t="shared" si="17"/>
        <v>158103.33499999999</v>
      </c>
      <c r="Y40" s="87">
        <f t="shared" si="17"/>
        <v>162020.68</v>
      </c>
      <c r="Z40" s="87">
        <f t="shared" si="17"/>
        <v>169626.85</v>
      </c>
      <c r="AA40" s="87">
        <f t="shared" si="17"/>
        <v>177796.44</v>
      </c>
      <c r="AB40" s="87">
        <f t="shared" si="17"/>
        <v>184955.41999999998</v>
      </c>
      <c r="AC40" s="87">
        <f t="shared" si="17"/>
        <v>192315.34</v>
      </c>
      <c r="AD40" s="87">
        <f t="shared" si="17"/>
        <v>199078.35</v>
      </c>
      <c r="AE40" s="87">
        <f t="shared" si="17"/>
        <v>206015.70499999999</v>
      </c>
      <c r="AF40" s="87">
        <f t="shared" si="17"/>
        <v>213622.86</v>
      </c>
      <c r="AG40" s="87">
        <f t="shared" si="17"/>
        <v>221972.70499999999</v>
      </c>
      <c r="AH40" s="87">
        <f t="shared" si="17"/>
        <v>230761.86</v>
      </c>
      <c r="AI40" s="87">
        <f t="shared" si="17"/>
        <v>236302.48499999999</v>
      </c>
      <c r="AJ40" s="87">
        <f t="shared" si="17"/>
        <v>242565.11499999999</v>
      </c>
      <c r="AK40" s="87">
        <f t="shared" si="17"/>
        <v>247873.28</v>
      </c>
      <c r="AL40" s="87">
        <f t="shared" si="17"/>
        <v>252972.625</v>
      </c>
      <c r="AM40" s="87">
        <f t="shared" si="17"/>
        <v>254639.245</v>
      </c>
      <c r="AN40" s="87">
        <f t="shared" si="17"/>
        <v>256595.45499999999</v>
      </c>
      <c r="AO40" s="87">
        <f t="shared" si="17"/>
        <v>258269.95499999999</v>
      </c>
      <c r="AP40" s="87">
        <f t="shared" si="17"/>
        <v>260901.875</v>
      </c>
      <c r="AQ40" s="87">
        <f t="shared" si="17"/>
        <v>265692.91499999998</v>
      </c>
      <c r="AR40" s="87">
        <f t="shared" si="17"/>
        <v>271932.89</v>
      </c>
      <c r="AS40" s="87">
        <f t="shared" si="17"/>
        <v>278263.48499999999</v>
      </c>
      <c r="AT40" s="87">
        <f>AT39*98.5%</f>
        <v>282934.35499999998</v>
      </c>
      <c r="AU40" s="87">
        <f>(AT40+'dati da INPS'!G198/1000000)*(1-2.5%)*(1+AT38%*AU37%)+'dati da INPS'!H202/1000000</f>
        <v>295706.0587922078</v>
      </c>
      <c r="AV40" s="87">
        <f>(AU40+'dati da INPS'!H202/1000000)*(1-2.5%)*(1+AU38%*AU37%)+'dati da INPS'!I199/1000000</f>
        <v>325356.22534751805</v>
      </c>
      <c r="AW40" s="87">
        <f>(AV40+'dati da INPS'!I199/1000000)*(1-2.5%)*(1+AV38%*AU37%)+'dati da INPS'!J200/1000000</f>
        <v>347682.30692818313</v>
      </c>
      <c r="AX40" s="87"/>
      <c r="AY40" s="87"/>
    </row>
    <row r="41" spans="8:52" x14ac:dyDescent="0.25">
      <c r="S41" s="47" t="s">
        <v>87</v>
      </c>
      <c r="T41" s="47" t="s">
        <v>50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87">
        <v>272660</v>
      </c>
      <c r="AS41" s="87">
        <v>278468</v>
      </c>
      <c r="AT41" s="87">
        <v>283411</v>
      </c>
      <c r="AU41" s="87">
        <v>292103</v>
      </c>
      <c r="AV41" s="87">
        <v>314894</v>
      </c>
      <c r="AW41" s="47"/>
      <c r="AX41" s="47"/>
      <c r="AY41" s="47"/>
    </row>
    <row r="42" spans="8:52" x14ac:dyDescent="0.25">
      <c r="P42" s="2" t="s">
        <v>83</v>
      </c>
      <c r="Q42" s="75">
        <v>2.5000000000000001E-2</v>
      </c>
      <c r="S42" s="82" t="s">
        <v>80</v>
      </c>
      <c r="T42" s="87">
        <f>(T40+(T40*(1-2.5%)))/2</f>
        <v>122001.2750625</v>
      </c>
      <c r="U42" s="87">
        <f t="shared" ref="U42:AV42" si="18">(U40+(U40*(1-2.5%)))/2</f>
        <v>134046.06437500002</v>
      </c>
      <c r="V42" s="87">
        <f t="shared" si="18"/>
        <v>145312.7036875</v>
      </c>
      <c r="W42" s="87">
        <f t="shared" si="18"/>
        <v>147296.98618750001</v>
      </c>
      <c r="X42" s="87">
        <f t="shared" si="18"/>
        <v>156127.0433125</v>
      </c>
      <c r="Y42" s="87">
        <f>(Y40+(Y40*(1-2.5%)))/2</f>
        <v>159995.4215</v>
      </c>
      <c r="Z42" s="87">
        <f t="shared" si="18"/>
        <v>167506.514375</v>
      </c>
      <c r="AA42" s="87">
        <f t="shared" si="18"/>
        <v>175573.98450000002</v>
      </c>
      <c r="AB42" s="87">
        <f t="shared" si="18"/>
        <v>182643.47725</v>
      </c>
      <c r="AC42" s="87">
        <f t="shared" si="18"/>
        <v>189911.39825</v>
      </c>
      <c r="AD42" s="87">
        <f t="shared" si="18"/>
        <v>196589.87062500001</v>
      </c>
      <c r="AE42" s="87">
        <f t="shared" si="18"/>
        <v>203440.50868749997</v>
      </c>
      <c r="AF42" s="87">
        <f t="shared" si="18"/>
        <v>210952.57425000001</v>
      </c>
      <c r="AG42" s="87">
        <f t="shared" si="18"/>
        <v>219198.0461875</v>
      </c>
      <c r="AH42" s="87">
        <f t="shared" si="18"/>
        <v>227877.33674999999</v>
      </c>
      <c r="AI42" s="87">
        <f t="shared" si="18"/>
        <v>233348.70393749999</v>
      </c>
      <c r="AJ42" s="87">
        <f t="shared" si="18"/>
        <v>239533.05106249999</v>
      </c>
      <c r="AK42" s="87">
        <f t="shared" si="18"/>
        <v>244774.864</v>
      </c>
      <c r="AL42" s="87">
        <f t="shared" si="18"/>
        <v>249810.46718749998</v>
      </c>
      <c r="AM42" s="87">
        <f t="shared" si="18"/>
        <v>251456.2544375</v>
      </c>
      <c r="AN42" s="87">
        <f t="shared" si="18"/>
        <v>253388.01181249999</v>
      </c>
      <c r="AO42" s="87">
        <f t="shared" si="18"/>
        <v>255041.58056249999</v>
      </c>
      <c r="AP42" s="87">
        <f t="shared" si="18"/>
        <v>257640.6015625</v>
      </c>
      <c r="AQ42" s="87">
        <f t="shared" si="18"/>
        <v>262371.7535625</v>
      </c>
      <c r="AR42" s="87">
        <f t="shared" si="18"/>
        <v>268533.72887500003</v>
      </c>
      <c r="AS42" s="87">
        <f t="shared" si="18"/>
        <v>274785.19143749995</v>
      </c>
      <c r="AT42" s="87">
        <f t="shared" si="18"/>
        <v>279397.67556249996</v>
      </c>
      <c r="AU42" s="87">
        <f>(AU40+(AU40*(1-2.5%)))/2</f>
        <v>292009.73305730522</v>
      </c>
      <c r="AV42" s="87">
        <f t="shared" si="18"/>
        <v>321289.27253067406</v>
      </c>
      <c r="AW42" s="87">
        <f>(AW40+(AW40*(1-2.5%)))/2</f>
        <v>343336.27809158084</v>
      </c>
      <c r="AX42" s="82"/>
      <c r="AY42" s="82"/>
      <c r="AZ42" s="2" t="s">
        <v>163</v>
      </c>
    </row>
    <row r="44" spans="8:52" x14ac:dyDescent="0.25">
      <c r="H44" s="183" t="s">
        <v>50</v>
      </c>
      <c r="I44" s="184"/>
      <c r="J44" s="184"/>
      <c r="K44" s="184"/>
      <c r="L44" s="184"/>
      <c r="M44" s="184"/>
      <c r="T44" s="68">
        <v>1995</v>
      </c>
      <c r="U44" s="68">
        <v>1996</v>
      </c>
      <c r="V44" s="68">
        <v>1997</v>
      </c>
      <c r="W44" s="68">
        <v>1998</v>
      </c>
      <c r="X44" s="68">
        <v>1999</v>
      </c>
      <c r="Y44" s="68">
        <v>2000</v>
      </c>
      <c r="Z44" s="68">
        <v>2001</v>
      </c>
      <c r="AA44" s="68">
        <v>2002</v>
      </c>
      <c r="AB44" s="68">
        <v>2003</v>
      </c>
      <c r="AC44" s="68">
        <v>2004</v>
      </c>
      <c r="AD44" s="68">
        <v>2005</v>
      </c>
      <c r="AE44" s="68">
        <v>2006</v>
      </c>
      <c r="AF44" s="68">
        <v>2007</v>
      </c>
      <c r="AG44" s="68">
        <v>2008</v>
      </c>
      <c r="AH44" s="68">
        <v>2009</v>
      </c>
      <c r="AI44" s="68">
        <v>2010</v>
      </c>
      <c r="AJ44" s="86">
        <v>2011</v>
      </c>
      <c r="AK44" s="68">
        <v>2012</v>
      </c>
      <c r="AL44" s="68">
        <v>2013</v>
      </c>
      <c r="AM44" s="68">
        <v>2014</v>
      </c>
      <c r="AN44" s="68">
        <v>2015</v>
      </c>
      <c r="AO44" s="68">
        <v>2016</v>
      </c>
      <c r="AP44" s="68">
        <v>2017</v>
      </c>
      <c r="AQ44" s="68">
        <v>2018</v>
      </c>
      <c r="AR44" s="68">
        <v>2019</v>
      </c>
      <c r="AS44" s="68">
        <v>2020</v>
      </c>
      <c r="AT44" s="99">
        <v>2021</v>
      </c>
      <c r="AU44" s="90">
        <v>2022</v>
      </c>
      <c r="AV44" s="68">
        <v>2023</v>
      </c>
      <c r="AW44" s="68">
        <v>2024</v>
      </c>
      <c r="AX44" s="68">
        <v>2025</v>
      </c>
      <c r="AY44" s="68" t="s">
        <v>52</v>
      </c>
    </row>
    <row r="45" spans="8:52" x14ac:dyDescent="0.25">
      <c r="S45" s="83" t="s">
        <v>85</v>
      </c>
      <c r="T45" s="100" t="s">
        <v>50</v>
      </c>
      <c r="U45" s="100">
        <f>T42*T38%*U37%</f>
        <v>6056.9370105735934</v>
      </c>
      <c r="V45" s="100">
        <f t="shared" ref="V45:AU45" si="19">U42*U38%*V37%</f>
        <v>4806.3301816784569</v>
      </c>
      <c r="W45" s="100">
        <f t="shared" si="19"/>
        <v>1654.6015875325425</v>
      </c>
      <c r="X45" s="100">
        <f t="shared" si="19"/>
        <v>2313.8850281267783</v>
      </c>
      <c r="Y45" s="100">
        <f t="shared" si="19"/>
        <v>2180.0855075601885</v>
      </c>
      <c r="Z45" s="100">
        <f t="shared" si="19"/>
        <v>3998.9809963959578</v>
      </c>
      <c r="AA45" s="100">
        <f t="shared" si="19"/>
        <v>4347.7433868246635</v>
      </c>
      <c r="AB45" s="100">
        <f t="shared" si="19"/>
        <v>4050.7910744395999</v>
      </c>
      <c r="AC45" s="100">
        <f t="shared" si="19"/>
        <v>4389.4753349745279</v>
      </c>
      <c r="AD45" s="100">
        <f t="shared" si="19"/>
        <v>3651.3163722035947</v>
      </c>
      <c r="AE45" s="100">
        <f t="shared" si="19"/>
        <v>3212.7615659797912</v>
      </c>
      <c r="AF45" s="100">
        <f t="shared" si="19"/>
        <v>3911.4327364502797</v>
      </c>
      <c r="AG45" s="100">
        <f t="shared" si="19"/>
        <v>3144.4520104259323</v>
      </c>
      <c r="AH45" s="100">
        <f t="shared" si="19"/>
        <v>6858.0617398121885</v>
      </c>
      <c r="AI45" s="100">
        <f t="shared" si="19"/>
        <v>1559.6024494201431</v>
      </c>
      <c r="AJ45" s="101">
        <f t="shared" si="19"/>
        <v>3589.1682162136185</v>
      </c>
      <c r="AK45" s="100">
        <f t="shared" si="19"/>
        <v>3027.7887787129316</v>
      </c>
      <c r="AL45" s="100">
        <f t="shared" si="19"/>
        <v>3437.8303176987179</v>
      </c>
      <c r="AM45" s="100">
        <f t="shared" si="19"/>
        <v>1984.9560198253782</v>
      </c>
      <c r="AN45" s="100">
        <f t="shared" si="19"/>
        <v>398.24623027806638</v>
      </c>
      <c r="AO45" s="100">
        <f t="shared" si="19"/>
        <v>-200.65283468036361</v>
      </c>
      <c r="AP45" s="100">
        <f t="shared" si="19"/>
        <v>-201.96226228371799</v>
      </c>
      <c r="AQ45" s="100">
        <f t="shared" si="19"/>
        <v>2244.2241181313634</v>
      </c>
      <c r="AR45" s="100">
        <f t="shared" si="19"/>
        <v>2303.0468527996718</v>
      </c>
      <c r="AS45" s="100">
        <f t="shared" si="19"/>
        <v>1079.2811316910529</v>
      </c>
      <c r="AT45" s="100">
        <f t="shared" si="19"/>
        <v>-662.64407148196653</v>
      </c>
      <c r="AU45" s="100">
        <f t="shared" si="19"/>
        <v>5158.8455287676361</v>
      </c>
      <c r="AV45" s="100">
        <f>AU42*AU38%*AU37%</f>
        <v>22985.739500860207</v>
      </c>
      <c r="AW45" s="100">
        <f>AV42*AV38%*AU37%</f>
        <v>16860.331892571263</v>
      </c>
      <c r="AX45" s="100">
        <f>AW42*AW38%*AU37%</f>
        <v>2669.2288869815939</v>
      </c>
      <c r="AY45" s="100"/>
    </row>
    <row r="46" spans="8:52" x14ac:dyDescent="0.25">
      <c r="S46" s="83" t="s">
        <v>85</v>
      </c>
      <c r="T46" s="100" t="s">
        <v>50</v>
      </c>
      <c r="U46" s="100">
        <f>U45</f>
        <v>6056.9370105735934</v>
      </c>
      <c r="V46" s="100">
        <f t="shared" ref="V46:AN46" si="20">V45</f>
        <v>4806.3301816784569</v>
      </c>
      <c r="W46" s="100">
        <f t="shared" si="20"/>
        <v>1654.6015875325425</v>
      </c>
      <c r="X46" s="100">
        <f t="shared" si="20"/>
        <v>2313.8850281267783</v>
      </c>
      <c r="Y46" s="100">
        <f t="shared" si="20"/>
        <v>2180.0855075601885</v>
      </c>
      <c r="Z46" s="100">
        <f t="shared" si="20"/>
        <v>3998.9809963959578</v>
      </c>
      <c r="AA46" s="100">
        <f t="shared" si="20"/>
        <v>4347.7433868246635</v>
      </c>
      <c r="AB46" s="100">
        <f t="shared" si="20"/>
        <v>4050.7910744395999</v>
      </c>
      <c r="AC46" s="100">
        <f t="shared" si="20"/>
        <v>4389.4753349745279</v>
      </c>
      <c r="AD46" s="100">
        <f t="shared" si="20"/>
        <v>3651.3163722035947</v>
      </c>
      <c r="AE46" s="100">
        <f t="shared" si="20"/>
        <v>3212.7615659797912</v>
      </c>
      <c r="AF46" s="100">
        <f t="shared" si="20"/>
        <v>3911.4327364502797</v>
      </c>
      <c r="AG46" s="100">
        <f t="shared" si="20"/>
        <v>3144.4520104259323</v>
      </c>
      <c r="AH46" s="100">
        <f t="shared" si="20"/>
        <v>6858.0617398121885</v>
      </c>
      <c r="AI46" s="100">
        <f t="shared" si="20"/>
        <v>1559.6024494201431</v>
      </c>
      <c r="AJ46" s="101">
        <f t="shared" si="20"/>
        <v>3589.1682162136185</v>
      </c>
      <c r="AK46" s="100">
        <f t="shared" si="20"/>
        <v>3027.7887787129316</v>
      </c>
      <c r="AL46" s="100">
        <f t="shared" si="20"/>
        <v>3437.8303176987179</v>
      </c>
      <c r="AM46" s="100">
        <f t="shared" si="20"/>
        <v>1984.9560198253782</v>
      </c>
      <c r="AN46" s="100">
        <f t="shared" si="20"/>
        <v>398.24623027806638</v>
      </c>
      <c r="AO46" s="100">
        <v>0</v>
      </c>
      <c r="AP46" s="100">
        <v>0</v>
      </c>
      <c r="AQ46" s="100">
        <f>AQ45+AO45+AP45</f>
        <v>1841.6090211672818</v>
      </c>
      <c r="AR46" s="100">
        <f>AR45</f>
        <v>2303.0468527996718</v>
      </c>
      <c r="AS46" s="100">
        <f>AS45</f>
        <v>1079.2811316910529</v>
      </c>
      <c r="AT46" s="100">
        <v>0</v>
      </c>
      <c r="AU46" s="100">
        <f>AU45+AT45</f>
        <v>4496.2014572856697</v>
      </c>
      <c r="AV46" s="100">
        <f>AV45</f>
        <v>22985.739500860207</v>
      </c>
      <c r="AW46" s="100">
        <f>AW45</f>
        <v>16860.331892571263</v>
      </c>
      <c r="AX46" s="100">
        <f>AX45</f>
        <v>2669.2288869815939</v>
      </c>
      <c r="AY46" s="100"/>
    </row>
    <row r="48" spans="8:52" x14ac:dyDescent="0.25">
      <c r="T48" s="47">
        <v>1995</v>
      </c>
      <c r="U48" s="47">
        <v>1996</v>
      </c>
      <c r="V48" s="47">
        <v>1997</v>
      </c>
      <c r="W48" s="47">
        <v>1998</v>
      </c>
      <c r="X48" s="47">
        <v>1999</v>
      </c>
      <c r="Y48" s="47">
        <v>2000</v>
      </c>
      <c r="Z48" s="47">
        <v>2001</v>
      </c>
      <c r="AA48" s="47">
        <v>2002</v>
      </c>
      <c r="AB48" s="47">
        <v>2003</v>
      </c>
      <c r="AC48" s="47">
        <v>2004</v>
      </c>
      <c r="AD48" s="47">
        <v>2005</v>
      </c>
      <c r="AE48" s="47">
        <v>2006</v>
      </c>
      <c r="AF48" s="47">
        <v>2007</v>
      </c>
      <c r="AG48" s="47">
        <v>2008</v>
      </c>
      <c r="AH48" s="47">
        <v>2009</v>
      </c>
      <c r="AI48" s="47">
        <v>2010</v>
      </c>
      <c r="AJ48" s="47">
        <v>2011</v>
      </c>
      <c r="AK48" s="47">
        <v>2012</v>
      </c>
      <c r="AL48" s="47">
        <v>2013</v>
      </c>
      <c r="AM48" s="47">
        <v>2014</v>
      </c>
      <c r="AN48" s="47">
        <v>2015</v>
      </c>
      <c r="AO48" s="47">
        <v>2016</v>
      </c>
      <c r="AP48" s="47">
        <v>2017</v>
      </c>
      <c r="AQ48" s="47">
        <v>2018</v>
      </c>
      <c r="AR48" s="47">
        <v>2019</v>
      </c>
      <c r="AS48" s="47">
        <v>2020</v>
      </c>
      <c r="AT48" s="47">
        <v>2021</v>
      </c>
      <c r="AU48" s="47">
        <v>2022</v>
      </c>
      <c r="AV48" s="47">
        <v>2023</v>
      </c>
      <c r="AW48" s="47">
        <v>2024</v>
      </c>
      <c r="AX48" s="47">
        <v>2025</v>
      </c>
      <c r="AY48" s="47" t="s">
        <v>52</v>
      </c>
    </row>
    <row r="49" spans="19:51" x14ac:dyDescent="0.25">
      <c r="S49" s="47" t="s">
        <v>89</v>
      </c>
      <c r="T49" s="89">
        <f>T40</f>
        <v>123545.595</v>
      </c>
      <c r="U49" s="89">
        <f t="shared" ref="U49:AV50" si="21">U40</f>
        <v>135742.85</v>
      </c>
      <c r="V49" s="89">
        <f t="shared" si="21"/>
        <v>147152.10500000001</v>
      </c>
      <c r="W49" s="89">
        <f t="shared" si="21"/>
        <v>149161.505</v>
      </c>
      <c r="X49" s="89">
        <f t="shared" si="21"/>
        <v>158103.33499999999</v>
      </c>
      <c r="Y49" s="89">
        <f t="shared" si="21"/>
        <v>162020.68</v>
      </c>
      <c r="Z49" s="89">
        <f t="shared" si="21"/>
        <v>169626.85</v>
      </c>
      <c r="AA49" s="89">
        <f t="shared" si="21"/>
        <v>177796.44</v>
      </c>
      <c r="AB49" s="89">
        <f t="shared" si="21"/>
        <v>184955.41999999998</v>
      </c>
      <c r="AC49" s="89">
        <f t="shared" si="21"/>
        <v>192315.34</v>
      </c>
      <c r="AD49" s="89">
        <f t="shared" si="21"/>
        <v>199078.35</v>
      </c>
      <c r="AE49" s="89">
        <f t="shared" si="21"/>
        <v>206015.70499999999</v>
      </c>
      <c r="AF49" s="89">
        <f t="shared" si="21"/>
        <v>213622.86</v>
      </c>
      <c r="AG49" s="89">
        <f t="shared" si="21"/>
        <v>221972.70499999999</v>
      </c>
      <c r="AH49" s="89">
        <f t="shared" si="21"/>
        <v>230761.86</v>
      </c>
      <c r="AI49" s="89">
        <f t="shared" si="21"/>
        <v>236302.48499999999</v>
      </c>
      <c r="AJ49" s="89">
        <f t="shared" si="21"/>
        <v>242565.11499999999</v>
      </c>
      <c r="AK49" s="89">
        <f t="shared" si="21"/>
        <v>247873.28</v>
      </c>
      <c r="AL49" s="89">
        <f t="shared" si="21"/>
        <v>252972.625</v>
      </c>
      <c r="AM49" s="89">
        <f t="shared" si="21"/>
        <v>254639.245</v>
      </c>
      <c r="AN49" s="89">
        <f t="shared" si="21"/>
        <v>256595.45499999999</v>
      </c>
      <c r="AO49" s="89">
        <f t="shared" si="21"/>
        <v>258269.95499999999</v>
      </c>
      <c r="AP49" s="89">
        <f t="shared" si="21"/>
        <v>260901.875</v>
      </c>
      <c r="AQ49" s="89">
        <f t="shared" si="21"/>
        <v>265692.91499999998</v>
      </c>
      <c r="AR49" s="89">
        <f t="shared" si="21"/>
        <v>271932.89</v>
      </c>
      <c r="AS49" s="89">
        <f t="shared" si="21"/>
        <v>278263.48499999999</v>
      </c>
      <c r="AT49" s="89">
        <f t="shared" si="21"/>
        <v>282934.35499999998</v>
      </c>
      <c r="AU49" s="89">
        <f t="shared" si="21"/>
        <v>295706.0587922078</v>
      </c>
      <c r="AV49" s="89">
        <f t="shared" si="21"/>
        <v>325356.22534751805</v>
      </c>
      <c r="AW49" s="89">
        <f>AW40</f>
        <v>347682.30692818313</v>
      </c>
      <c r="AX49" s="89"/>
      <c r="AY49" s="89"/>
    </row>
    <row r="50" spans="19:51" x14ac:dyDescent="0.25">
      <c r="S50" s="47" t="s">
        <v>87</v>
      </c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>
        <f t="shared" si="21"/>
        <v>272660</v>
      </c>
      <c r="AS50" s="47">
        <f t="shared" si="21"/>
        <v>278468</v>
      </c>
      <c r="AT50" s="47">
        <f t="shared" si="21"/>
        <v>283411</v>
      </c>
      <c r="AU50" s="47">
        <f t="shared" si="21"/>
        <v>292103</v>
      </c>
      <c r="AV50" s="47">
        <f t="shared" si="21"/>
        <v>314894</v>
      </c>
      <c r="AW50" s="47"/>
      <c r="AX50" s="47"/>
      <c r="AY50" s="47"/>
    </row>
    <row r="51" spans="19:51" x14ac:dyDescent="0.25">
      <c r="S51" s="47" t="s">
        <v>90</v>
      </c>
      <c r="T51" s="47"/>
      <c r="U51" s="126">
        <f>U46</f>
        <v>6056.9370105735934</v>
      </c>
      <c r="V51" s="126">
        <f>V46</f>
        <v>4806.3301816784569</v>
      </c>
      <c r="W51" s="126">
        <f t="shared" ref="W51:AX51" si="22">W46</f>
        <v>1654.6015875325425</v>
      </c>
      <c r="X51" s="126">
        <f t="shared" si="22"/>
        <v>2313.8850281267783</v>
      </c>
      <c r="Y51" s="126">
        <f t="shared" si="22"/>
        <v>2180.0855075601885</v>
      </c>
      <c r="Z51" s="126">
        <f t="shared" si="22"/>
        <v>3998.9809963959578</v>
      </c>
      <c r="AA51" s="126">
        <f t="shared" si="22"/>
        <v>4347.7433868246635</v>
      </c>
      <c r="AB51" s="126">
        <f t="shared" si="22"/>
        <v>4050.7910744395999</v>
      </c>
      <c r="AC51" s="126">
        <f t="shared" si="22"/>
        <v>4389.4753349745279</v>
      </c>
      <c r="AD51" s="126">
        <f t="shared" si="22"/>
        <v>3651.3163722035947</v>
      </c>
      <c r="AE51" s="126">
        <f t="shared" si="22"/>
        <v>3212.7615659797912</v>
      </c>
      <c r="AF51" s="126">
        <f t="shared" si="22"/>
        <v>3911.4327364502797</v>
      </c>
      <c r="AG51" s="126">
        <f t="shared" si="22"/>
        <v>3144.4520104259323</v>
      </c>
      <c r="AH51" s="126">
        <f t="shared" si="22"/>
        <v>6858.0617398121885</v>
      </c>
      <c r="AI51" s="126">
        <f t="shared" si="22"/>
        <v>1559.6024494201431</v>
      </c>
      <c r="AJ51" s="126">
        <f t="shared" si="22"/>
        <v>3589.1682162136185</v>
      </c>
      <c r="AK51" s="126">
        <f t="shared" si="22"/>
        <v>3027.7887787129316</v>
      </c>
      <c r="AL51" s="126">
        <f t="shared" si="22"/>
        <v>3437.8303176987179</v>
      </c>
      <c r="AM51" s="126">
        <f t="shared" si="22"/>
        <v>1984.9560198253782</v>
      </c>
      <c r="AN51" s="126">
        <f t="shared" si="22"/>
        <v>398.24623027806638</v>
      </c>
      <c r="AO51" s="126">
        <v>0</v>
      </c>
      <c r="AP51" s="126">
        <v>0</v>
      </c>
      <c r="AQ51" s="126">
        <f t="shared" si="22"/>
        <v>1841.6090211672818</v>
      </c>
      <c r="AR51" s="126">
        <f t="shared" si="22"/>
        <v>2303.0468527996718</v>
      </c>
      <c r="AS51" s="126">
        <f t="shared" si="22"/>
        <v>1079.2811316910529</v>
      </c>
      <c r="AT51" s="126">
        <v>0</v>
      </c>
      <c r="AU51" s="126">
        <f t="shared" si="22"/>
        <v>4496.2014572856697</v>
      </c>
      <c r="AV51" s="126">
        <f>AV46</f>
        <v>22985.739500860207</v>
      </c>
      <c r="AW51" s="126">
        <f t="shared" si="22"/>
        <v>16860.331892571263</v>
      </c>
      <c r="AX51" s="126">
        <f t="shared" si="22"/>
        <v>2669.2288869815939</v>
      </c>
      <c r="AY51" s="126"/>
    </row>
    <row r="53" spans="19:51" x14ac:dyDescent="0.25">
      <c r="AV53" s="2">
        <v>18987.023488104569</v>
      </c>
      <c r="AW53" s="2">
        <v>13450.849773450571</v>
      </c>
      <c r="AX53" s="2">
        <v>2547.4197026730535</v>
      </c>
    </row>
    <row r="56" spans="19:51" x14ac:dyDescent="0.25">
      <c r="AV56" s="136">
        <f>SUM(AV51:AX51)-SUM(AV53:AX53)</f>
        <v>7530.0073161848704</v>
      </c>
    </row>
  </sheetData>
  <mergeCells count="15">
    <mergeCell ref="H44:M44"/>
    <mergeCell ref="R8:S10"/>
    <mergeCell ref="T8:W8"/>
    <mergeCell ref="X8:AX8"/>
    <mergeCell ref="D9:G9"/>
    <mergeCell ref="T9:AJ9"/>
    <mergeCell ref="AK9:AT9"/>
    <mergeCell ref="AV9:AW9"/>
    <mergeCell ref="I10:J10"/>
    <mergeCell ref="K10:L10"/>
    <mergeCell ref="R11:R21"/>
    <mergeCell ref="T24:AJ24"/>
    <mergeCell ref="AK24:AT24"/>
    <mergeCell ref="AV24:AW24"/>
    <mergeCell ref="H25:M25"/>
  </mergeCells>
  <hyperlinks>
    <hyperlink ref="P38" r:id="rId1" xr:uid="{6F36D939-4601-4E02-B6E2-4406A06788DB}"/>
  </hyperlinks>
  <pageMargins left="0.7" right="0.7" top="0.75" bottom="0.75" header="0.3" footer="0.3"/>
  <ignoredErrors>
    <ignoredError sqref="AU26:AU3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CD1C-1B24-4707-86D9-421F2299E36A}">
  <sheetPr>
    <tabColor rgb="FF0070C0"/>
  </sheetPr>
  <dimension ref="C5:BA58"/>
  <sheetViews>
    <sheetView topLeftCell="K18" zoomScaleNormal="100" workbookViewId="0">
      <selection activeCell="AL45" sqref="AL45"/>
    </sheetView>
  </sheetViews>
  <sheetFormatPr defaultRowHeight="15" x14ac:dyDescent="0.25"/>
  <cols>
    <col min="1" max="3" width="9.140625" style="2"/>
    <col min="4" max="4" width="18.85546875" style="2" customWidth="1"/>
    <col min="5" max="7" width="16.42578125" style="2" customWidth="1"/>
    <col min="8" max="17" width="9.140625" style="2"/>
    <col min="18" max="18" width="3.28515625" style="2" customWidth="1"/>
    <col min="19" max="19" width="5.7109375" style="2" customWidth="1"/>
    <col min="20" max="51" width="8.5703125" style="2" customWidth="1"/>
    <col min="52" max="16384" width="9.140625" style="2"/>
  </cols>
  <sheetData>
    <row r="5" spans="3:53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3:53" x14ac:dyDescent="0.25"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3:53" ht="7.5" customHeight="1" thickBot="1" x14ac:dyDescent="0.3"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5" t="s">
        <v>6</v>
      </c>
      <c r="AZ7" s="1"/>
      <c r="BA7" s="1"/>
    </row>
    <row r="8" spans="3:53" ht="7.5" customHeight="1" thickTop="1" thickBot="1" x14ac:dyDescent="0.3">
      <c r="Q8" s="1"/>
      <c r="R8" s="173"/>
      <c r="S8" s="174"/>
      <c r="T8" s="187"/>
      <c r="U8" s="187"/>
      <c r="V8" s="187"/>
      <c r="W8" s="188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8"/>
      <c r="AZ8" s="1"/>
      <c r="BA8" s="1"/>
    </row>
    <row r="9" spans="3:53" ht="7.5" customHeight="1" thickTop="1" thickBot="1" x14ac:dyDescent="0.3">
      <c r="D9" s="179" t="s">
        <v>45</v>
      </c>
      <c r="E9" s="180"/>
      <c r="F9" s="180"/>
      <c r="G9" s="181"/>
      <c r="Q9" s="1"/>
      <c r="R9" s="175"/>
      <c r="S9" s="176"/>
      <c r="T9" s="192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9"/>
      <c r="AV9" s="195"/>
      <c r="AW9" s="196"/>
      <c r="AX9" s="9"/>
      <c r="AY9" s="9"/>
      <c r="AZ9" s="1"/>
      <c r="BA9" s="1"/>
    </row>
    <row r="10" spans="3:53" ht="42" thickTop="1" thickBot="1" x14ac:dyDescent="0.3">
      <c r="D10" s="48" t="s">
        <v>29</v>
      </c>
      <c r="E10" s="48" t="s">
        <v>30</v>
      </c>
      <c r="F10" s="48" t="s">
        <v>31</v>
      </c>
      <c r="G10" s="48" t="s">
        <v>32</v>
      </c>
      <c r="I10" s="182" t="s">
        <v>47</v>
      </c>
      <c r="J10" s="182"/>
      <c r="K10" s="182" t="s">
        <v>48</v>
      </c>
      <c r="L10" s="182"/>
      <c r="Q10" s="1"/>
      <c r="R10" s="177"/>
      <c r="S10" s="178"/>
      <c r="T10" s="62">
        <v>1995</v>
      </c>
      <c r="U10" s="50">
        <v>1996</v>
      </c>
      <c r="V10" s="50">
        <v>1997</v>
      </c>
      <c r="W10" s="60">
        <v>1998</v>
      </c>
      <c r="X10" s="60">
        <v>1999</v>
      </c>
      <c r="Y10" s="60">
        <v>2000</v>
      </c>
      <c r="Z10" s="56">
        <v>2001</v>
      </c>
      <c r="AA10" s="56">
        <v>2002</v>
      </c>
      <c r="AB10" s="56">
        <v>2003</v>
      </c>
      <c r="AC10" s="56">
        <v>2004</v>
      </c>
      <c r="AD10" s="56">
        <v>2005</v>
      </c>
      <c r="AE10" s="56">
        <v>2006</v>
      </c>
      <c r="AF10" s="56">
        <v>2007</v>
      </c>
      <c r="AG10" s="67">
        <v>2008</v>
      </c>
      <c r="AH10" s="67">
        <v>2009</v>
      </c>
      <c r="AI10" s="67">
        <v>2010</v>
      </c>
      <c r="AJ10" s="56">
        <v>2011</v>
      </c>
      <c r="AK10" s="65">
        <v>2012</v>
      </c>
      <c r="AL10" s="65">
        <v>2013</v>
      </c>
      <c r="AM10" s="70">
        <v>2014</v>
      </c>
      <c r="AN10" s="69">
        <v>2015</v>
      </c>
      <c r="AO10" s="69">
        <v>2016</v>
      </c>
      <c r="AP10" s="69">
        <v>2017</v>
      </c>
      <c r="AQ10" s="69">
        <v>2018</v>
      </c>
      <c r="AR10" s="66">
        <v>2019</v>
      </c>
      <c r="AS10" s="63">
        <v>2020</v>
      </c>
      <c r="AT10" s="63">
        <v>2021</v>
      </c>
      <c r="AU10" s="57">
        <v>2022</v>
      </c>
      <c r="AV10" s="59">
        <v>2023</v>
      </c>
      <c r="AW10" s="59">
        <v>2024</v>
      </c>
      <c r="AX10" s="57">
        <v>2025</v>
      </c>
      <c r="AY10" s="54">
        <v>2026</v>
      </c>
      <c r="AZ10" s="1"/>
      <c r="BA10" s="1"/>
    </row>
    <row r="11" spans="3:53" ht="15.75" thickTop="1" x14ac:dyDescent="0.25">
      <c r="C11" s="49">
        <v>1</v>
      </c>
      <c r="D11" s="44" t="s">
        <v>33</v>
      </c>
      <c r="E11" s="46">
        <v>1239616</v>
      </c>
      <c r="F11" s="46">
        <v>272.69</v>
      </c>
      <c r="G11" s="46">
        <v>4394459093.54</v>
      </c>
      <c r="H11" s="58">
        <v>1</v>
      </c>
      <c r="I11" s="53">
        <f>E11/$E$22</f>
        <v>8.6883580308661224E-2</v>
      </c>
      <c r="J11" s="53">
        <f>SUM($I$11:I11)</f>
        <v>8.6883580308661224E-2</v>
      </c>
      <c r="K11" s="53">
        <f>G11/$G$22</f>
        <v>1.5011824145800174E-2</v>
      </c>
      <c r="L11" s="53">
        <f>SUM($K$11:K11)</f>
        <v>1.5011824145800174E-2</v>
      </c>
      <c r="Q11" s="1"/>
      <c r="R11" s="185" t="s">
        <v>1</v>
      </c>
      <c r="S11" s="3">
        <v>1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6">
        <v>100</v>
      </c>
      <c r="AF11" s="6">
        <v>100</v>
      </c>
      <c r="AG11" s="6">
        <v>100</v>
      </c>
      <c r="AH11" s="6">
        <v>100</v>
      </c>
      <c r="AI11" s="6">
        <v>100</v>
      </c>
      <c r="AJ11" s="6">
        <v>100</v>
      </c>
      <c r="AK11" s="6">
        <v>100</v>
      </c>
      <c r="AL11" s="6">
        <v>100</v>
      </c>
      <c r="AM11" s="6">
        <v>100</v>
      </c>
      <c r="AN11" s="6">
        <v>100</v>
      </c>
      <c r="AO11" s="6">
        <v>100</v>
      </c>
      <c r="AP11" s="6">
        <v>100</v>
      </c>
      <c r="AQ11" s="6">
        <v>100</v>
      </c>
      <c r="AR11" s="6">
        <v>100</v>
      </c>
      <c r="AS11" s="6">
        <v>100</v>
      </c>
      <c r="AT11" s="6">
        <v>100</v>
      </c>
      <c r="AU11" s="6">
        <v>100</v>
      </c>
      <c r="AV11" s="6">
        <v>100</v>
      </c>
      <c r="AW11" s="6">
        <v>100</v>
      </c>
      <c r="AX11" s="6">
        <v>100</v>
      </c>
      <c r="AY11" s="38">
        <v>100</v>
      </c>
      <c r="AZ11" s="1"/>
      <c r="BA11" s="1"/>
    </row>
    <row r="12" spans="3:53" x14ac:dyDescent="0.25">
      <c r="C12" s="49">
        <v>2</v>
      </c>
      <c r="D12" s="44" t="s">
        <v>34</v>
      </c>
      <c r="E12" s="46">
        <v>3870395</v>
      </c>
      <c r="F12" s="46">
        <v>756.59</v>
      </c>
      <c r="G12" s="46">
        <v>38068101562.07</v>
      </c>
      <c r="H12" s="58">
        <v>2</v>
      </c>
      <c r="I12" s="53">
        <f t="shared" ref="I12:I22" si="0">E12/$E$22</f>
        <v>0.27127253505016136</v>
      </c>
      <c r="J12" s="53">
        <f>SUM($I$11:I12)</f>
        <v>0.35815611535882258</v>
      </c>
      <c r="K12" s="53">
        <f t="shared" ref="K12:K22" si="1">G12/$G$22</f>
        <v>0.13004368320422824</v>
      </c>
      <c r="L12" s="53">
        <f>SUM($K$11:K12)</f>
        <v>0.14505550735002842</v>
      </c>
      <c r="Q12" s="1"/>
      <c r="R12" s="185"/>
      <c r="S12" s="3">
        <v>2</v>
      </c>
      <c r="T12" s="4">
        <v>100</v>
      </c>
      <c r="U12" s="4">
        <v>100</v>
      </c>
      <c r="V12" s="4">
        <v>100</v>
      </c>
      <c r="W12" s="4">
        <v>100</v>
      </c>
      <c r="X12" s="4">
        <v>100</v>
      </c>
      <c r="Y12" s="4">
        <v>100</v>
      </c>
      <c r="Z12" s="4">
        <v>100</v>
      </c>
      <c r="AA12" s="4">
        <v>100</v>
      </c>
      <c r="AB12" s="4">
        <v>100</v>
      </c>
      <c r="AC12" s="4">
        <v>100</v>
      </c>
      <c r="AD12" s="4">
        <v>100</v>
      </c>
      <c r="AE12" s="4">
        <v>100</v>
      </c>
      <c r="AF12" s="4">
        <v>100</v>
      </c>
      <c r="AG12" s="4">
        <v>100</v>
      </c>
      <c r="AH12" s="4">
        <v>100</v>
      </c>
      <c r="AI12" s="4">
        <v>100</v>
      </c>
      <c r="AJ12" s="4">
        <v>100</v>
      </c>
      <c r="AK12" s="4">
        <v>100</v>
      </c>
      <c r="AL12" s="4">
        <v>100</v>
      </c>
      <c r="AM12" s="4">
        <v>100</v>
      </c>
      <c r="AN12" s="4">
        <v>100</v>
      </c>
      <c r="AO12" s="4">
        <v>100</v>
      </c>
      <c r="AP12" s="4">
        <v>100</v>
      </c>
      <c r="AQ12" s="4">
        <v>100</v>
      </c>
      <c r="AR12" s="4">
        <v>100</v>
      </c>
      <c r="AS12" s="4">
        <v>100</v>
      </c>
      <c r="AT12" s="4">
        <v>100</v>
      </c>
      <c r="AU12" s="4">
        <v>100</v>
      </c>
      <c r="AV12" s="4">
        <v>100</v>
      </c>
      <c r="AW12" s="4">
        <v>100</v>
      </c>
      <c r="AX12" s="4">
        <v>100</v>
      </c>
      <c r="AY12" s="39">
        <v>100</v>
      </c>
      <c r="AZ12" s="1"/>
      <c r="BA12" s="1"/>
    </row>
    <row r="13" spans="3:53" x14ac:dyDescent="0.25">
      <c r="C13" s="49">
        <v>3</v>
      </c>
      <c r="D13" s="44" t="s">
        <v>35</v>
      </c>
      <c r="E13" s="46">
        <v>3488899</v>
      </c>
      <c r="F13" s="46">
        <v>1316.18</v>
      </c>
      <c r="G13" s="46">
        <v>59696377524.93</v>
      </c>
      <c r="H13" s="58">
        <v>3</v>
      </c>
      <c r="I13" s="53">
        <f t="shared" si="0"/>
        <v>0.24453382051805383</v>
      </c>
      <c r="J13" s="53">
        <f>SUM($I$11:I13)</f>
        <v>0.60268993587687647</v>
      </c>
      <c r="K13" s="53">
        <f t="shared" si="1"/>
        <v>0.20392760575765045</v>
      </c>
      <c r="L13" s="53">
        <f>SUM($K$11:K13)</f>
        <v>0.34898311310767888</v>
      </c>
      <c r="Q13" s="1"/>
      <c r="R13" s="185"/>
      <c r="S13" s="3">
        <v>3</v>
      </c>
      <c r="T13" s="4">
        <v>90</v>
      </c>
      <c r="U13" s="4">
        <v>90</v>
      </c>
      <c r="V13" s="4">
        <v>90</v>
      </c>
      <c r="W13" s="4">
        <v>90</v>
      </c>
      <c r="X13" s="4">
        <v>90</v>
      </c>
      <c r="Y13" s="4">
        <v>90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N13" s="4">
        <v>100</v>
      </c>
      <c r="AO13" s="4">
        <v>100</v>
      </c>
      <c r="AP13" s="4">
        <v>100</v>
      </c>
      <c r="AQ13" s="4">
        <v>100</v>
      </c>
      <c r="AR13" s="4">
        <v>100</v>
      </c>
      <c r="AS13" s="4">
        <v>100</v>
      </c>
      <c r="AT13" s="4">
        <v>100</v>
      </c>
      <c r="AU13" s="4">
        <v>100</v>
      </c>
      <c r="AV13" s="4">
        <v>100</v>
      </c>
      <c r="AW13" s="4">
        <v>100</v>
      </c>
      <c r="AX13" s="4">
        <v>100</v>
      </c>
      <c r="AY13" s="39">
        <v>100</v>
      </c>
      <c r="AZ13" s="1"/>
      <c r="BA13" s="1"/>
    </row>
    <row r="14" spans="3:53" x14ac:dyDescent="0.25">
      <c r="C14" s="49">
        <v>4</v>
      </c>
      <c r="D14" s="44" t="s">
        <v>36</v>
      </c>
      <c r="E14" s="46">
        <v>2407576</v>
      </c>
      <c r="F14" s="46">
        <v>1824.13</v>
      </c>
      <c r="G14" s="46">
        <v>57092560198.25</v>
      </c>
      <c r="H14" s="58">
        <v>4</v>
      </c>
      <c r="I14" s="53">
        <f t="shared" si="0"/>
        <v>0.1687448554594369</v>
      </c>
      <c r="J14" s="53">
        <f>SUM($I$11:I14)</f>
        <v>0.77143479133631332</v>
      </c>
      <c r="K14" s="53">
        <f t="shared" si="1"/>
        <v>0.19503275727143551</v>
      </c>
      <c r="L14" s="53">
        <f>SUM($K$11:K14)</f>
        <v>0.54401587037911436</v>
      </c>
      <c r="Q14" s="1"/>
      <c r="R14" s="185"/>
      <c r="S14" s="3">
        <v>4</v>
      </c>
      <c r="T14" s="4">
        <v>75</v>
      </c>
      <c r="U14" s="4">
        <v>75</v>
      </c>
      <c r="V14" s="4">
        <v>75</v>
      </c>
      <c r="W14" s="4">
        <v>75</v>
      </c>
      <c r="X14" s="4">
        <v>75</v>
      </c>
      <c r="Y14" s="4">
        <v>75</v>
      </c>
      <c r="Z14" s="4">
        <v>90</v>
      </c>
      <c r="AA14" s="4">
        <v>90</v>
      </c>
      <c r="AB14" s="4">
        <v>90</v>
      </c>
      <c r="AC14" s="4">
        <v>90</v>
      </c>
      <c r="AD14" s="4">
        <v>90</v>
      </c>
      <c r="AE14" s="4">
        <v>90</v>
      </c>
      <c r="AF14" s="4">
        <v>90</v>
      </c>
      <c r="AG14" s="4">
        <v>100</v>
      </c>
      <c r="AH14" s="4">
        <v>100</v>
      </c>
      <c r="AI14" s="4">
        <v>100</v>
      </c>
      <c r="AJ14" s="4">
        <v>90</v>
      </c>
      <c r="AK14" s="4">
        <v>40</v>
      </c>
      <c r="AL14" s="4">
        <v>40</v>
      </c>
      <c r="AM14" s="4">
        <v>95</v>
      </c>
      <c r="AN14" s="4">
        <v>95</v>
      </c>
      <c r="AO14" s="4">
        <v>95</v>
      </c>
      <c r="AP14" s="4">
        <v>95</v>
      </c>
      <c r="AQ14" s="4">
        <v>95</v>
      </c>
      <c r="AR14" s="4">
        <v>97</v>
      </c>
      <c r="AS14" s="4">
        <v>100</v>
      </c>
      <c r="AT14" s="4">
        <v>100</v>
      </c>
      <c r="AU14" s="4">
        <v>100</v>
      </c>
      <c r="AV14" s="4">
        <v>100</v>
      </c>
      <c r="AW14" s="4">
        <v>100</v>
      </c>
      <c r="AX14" s="4">
        <v>100</v>
      </c>
      <c r="AY14" s="39">
        <v>100</v>
      </c>
      <c r="AZ14" s="1"/>
      <c r="BA14" s="1"/>
    </row>
    <row r="15" spans="3:53" x14ac:dyDescent="0.25">
      <c r="C15" s="49">
        <v>5</v>
      </c>
      <c r="D15" s="44" t="s">
        <v>37</v>
      </c>
      <c r="E15" s="46">
        <v>1529558</v>
      </c>
      <c r="F15" s="46">
        <v>2343.69</v>
      </c>
      <c r="G15" s="46">
        <v>46602616234</v>
      </c>
      <c r="H15" s="58">
        <v>5</v>
      </c>
      <c r="I15" s="53">
        <f t="shared" si="0"/>
        <v>0.10720535660216973</v>
      </c>
      <c r="J15" s="53">
        <f>SUM($I$11:I15)</f>
        <v>0.87864014793848311</v>
      </c>
      <c r="K15" s="53">
        <f t="shared" si="1"/>
        <v>0.15919826871694887</v>
      </c>
      <c r="L15" s="53">
        <f>SUM($K$11:K15)</f>
        <v>0.70321413909606323</v>
      </c>
      <c r="Q15" s="1"/>
      <c r="R15" s="185"/>
      <c r="S15" s="3">
        <v>5</v>
      </c>
      <c r="T15" s="4">
        <v>75</v>
      </c>
      <c r="U15" s="4">
        <v>75</v>
      </c>
      <c r="V15" s="4">
        <v>75</v>
      </c>
      <c r="W15" s="4">
        <v>75</v>
      </c>
      <c r="X15" s="4">
        <v>75</v>
      </c>
      <c r="Y15" s="4">
        <v>75</v>
      </c>
      <c r="Z15" s="4">
        <v>90</v>
      </c>
      <c r="AA15" s="4">
        <v>90</v>
      </c>
      <c r="AB15" s="4">
        <v>90</v>
      </c>
      <c r="AC15" s="4">
        <v>90</v>
      </c>
      <c r="AD15" s="4">
        <v>90</v>
      </c>
      <c r="AE15" s="4">
        <v>90</v>
      </c>
      <c r="AF15" s="4">
        <v>90</v>
      </c>
      <c r="AG15" s="4">
        <v>100</v>
      </c>
      <c r="AH15" s="4">
        <v>100</v>
      </c>
      <c r="AI15" s="4">
        <v>100</v>
      </c>
      <c r="AJ15" s="4">
        <v>90</v>
      </c>
      <c r="AK15" s="4">
        <v>20</v>
      </c>
      <c r="AL15" s="4">
        <v>20</v>
      </c>
      <c r="AM15" s="4">
        <v>75</v>
      </c>
      <c r="AN15" s="4">
        <v>75</v>
      </c>
      <c r="AO15" s="4">
        <v>75</v>
      </c>
      <c r="AP15" s="4">
        <v>75</v>
      </c>
      <c r="AQ15" s="4">
        <v>75</v>
      </c>
      <c r="AR15" s="4">
        <v>77</v>
      </c>
      <c r="AS15" s="4">
        <v>77</v>
      </c>
      <c r="AT15" s="4">
        <v>77</v>
      </c>
      <c r="AU15" s="4">
        <v>90</v>
      </c>
      <c r="AV15" s="4">
        <v>85</v>
      </c>
      <c r="AW15" s="4">
        <v>85</v>
      </c>
      <c r="AX15" s="4">
        <v>90</v>
      </c>
      <c r="AY15" s="39">
        <v>90</v>
      </c>
      <c r="AZ15" s="1"/>
      <c r="BA15" s="1"/>
    </row>
    <row r="16" spans="3:53" x14ac:dyDescent="0.25">
      <c r="C16" s="49">
        <v>6</v>
      </c>
      <c r="D16" s="44" t="s">
        <v>38</v>
      </c>
      <c r="E16" s="46">
        <v>734699</v>
      </c>
      <c r="F16" s="46">
        <v>2858.45</v>
      </c>
      <c r="G16" s="46">
        <v>27301324401.029999</v>
      </c>
      <c r="H16" s="58">
        <v>6</v>
      </c>
      <c r="I16" s="53">
        <f t="shared" si="0"/>
        <v>5.1494397917736696E-2</v>
      </c>
      <c r="J16" s="53">
        <f>SUM($I$11:I16)</f>
        <v>0.9301345458562198</v>
      </c>
      <c r="K16" s="53">
        <f t="shared" si="1"/>
        <v>9.326351028234349E-2</v>
      </c>
      <c r="L16" s="53">
        <f>SUM($K$11:K16)</f>
        <v>0.7964776493784067</v>
      </c>
      <c r="Q16" s="1"/>
      <c r="R16" s="185"/>
      <c r="S16" s="3">
        <v>6</v>
      </c>
      <c r="T16" s="4">
        <v>75</v>
      </c>
      <c r="U16" s="4">
        <v>75</v>
      </c>
      <c r="V16" s="4">
        <v>75</v>
      </c>
      <c r="W16" s="4">
        <v>0</v>
      </c>
      <c r="X16" s="4">
        <v>30</v>
      </c>
      <c r="Y16" s="4">
        <v>30</v>
      </c>
      <c r="Z16" s="4">
        <v>75</v>
      </c>
      <c r="AA16" s="4">
        <v>75</v>
      </c>
      <c r="AB16" s="4">
        <v>75</v>
      </c>
      <c r="AC16" s="4">
        <v>75</v>
      </c>
      <c r="AD16" s="4">
        <v>75</v>
      </c>
      <c r="AE16" s="4">
        <v>75</v>
      </c>
      <c r="AF16" s="4">
        <v>75</v>
      </c>
      <c r="AG16" s="4">
        <v>75</v>
      </c>
      <c r="AH16" s="4">
        <v>75</v>
      </c>
      <c r="AI16" s="4">
        <v>75</v>
      </c>
      <c r="AJ16" s="4">
        <v>75</v>
      </c>
      <c r="AK16" s="4">
        <v>10</v>
      </c>
      <c r="AL16" s="4">
        <v>10</v>
      </c>
      <c r="AM16" s="4">
        <v>50</v>
      </c>
      <c r="AN16" s="4">
        <v>50</v>
      </c>
      <c r="AO16" s="4">
        <v>50</v>
      </c>
      <c r="AP16" s="4">
        <v>50</v>
      </c>
      <c r="AQ16" s="4">
        <v>50</v>
      </c>
      <c r="AR16" s="4">
        <v>52</v>
      </c>
      <c r="AS16" s="4">
        <v>52</v>
      </c>
      <c r="AT16" s="4">
        <v>52</v>
      </c>
      <c r="AU16" s="4">
        <v>75</v>
      </c>
      <c r="AV16" s="4">
        <v>53</v>
      </c>
      <c r="AW16" s="4">
        <v>53</v>
      </c>
      <c r="AX16" s="4">
        <v>75</v>
      </c>
      <c r="AY16" s="39">
        <v>75</v>
      </c>
      <c r="AZ16" s="1"/>
      <c r="BA16" s="1"/>
    </row>
    <row r="17" spans="3:53" x14ac:dyDescent="0.25">
      <c r="C17" s="49">
        <v>7</v>
      </c>
      <c r="D17" s="44" t="s">
        <v>39</v>
      </c>
      <c r="E17" s="46">
        <v>366953</v>
      </c>
      <c r="F17" s="46">
        <v>3383.51</v>
      </c>
      <c r="G17" s="46">
        <v>16140675372.41</v>
      </c>
      <c r="H17" s="58">
        <v>7</v>
      </c>
      <c r="I17" s="53">
        <f t="shared" si="0"/>
        <v>2.5719408627352471E-2</v>
      </c>
      <c r="J17" s="53">
        <f>SUM($I$11:I17)</f>
        <v>0.95585395448357224</v>
      </c>
      <c r="K17" s="53">
        <f t="shared" si="1"/>
        <v>5.5137839521878153E-2</v>
      </c>
      <c r="L17" s="53">
        <f>SUM($K$11:K17)</f>
        <v>0.85161548890028482</v>
      </c>
      <c r="Q17" s="1"/>
      <c r="R17" s="185"/>
      <c r="S17" s="3">
        <v>7</v>
      </c>
      <c r="T17" s="4">
        <v>75</v>
      </c>
      <c r="U17" s="4">
        <v>75</v>
      </c>
      <c r="V17" s="4">
        <v>75</v>
      </c>
      <c r="W17" s="4">
        <v>0</v>
      </c>
      <c r="X17" s="4">
        <v>30</v>
      </c>
      <c r="Y17" s="4">
        <v>30</v>
      </c>
      <c r="Z17" s="4">
        <v>75</v>
      </c>
      <c r="AA17" s="4">
        <v>75</v>
      </c>
      <c r="AB17" s="4">
        <v>75</v>
      </c>
      <c r="AC17" s="4">
        <v>75</v>
      </c>
      <c r="AD17" s="4">
        <v>75</v>
      </c>
      <c r="AE17" s="4">
        <v>75</v>
      </c>
      <c r="AF17" s="4">
        <v>75</v>
      </c>
      <c r="AG17" s="4">
        <v>75</v>
      </c>
      <c r="AH17" s="4">
        <v>75</v>
      </c>
      <c r="AI17" s="4">
        <v>75</v>
      </c>
      <c r="AJ17" s="4">
        <v>75</v>
      </c>
      <c r="AK17" s="4">
        <v>0</v>
      </c>
      <c r="AL17" s="4">
        <v>0</v>
      </c>
      <c r="AM17" s="4">
        <v>40</v>
      </c>
      <c r="AN17" s="4">
        <v>45</v>
      </c>
      <c r="AO17" s="4">
        <v>45</v>
      </c>
      <c r="AP17" s="4">
        <v>45</v>
      </c>
      <c r="AQ17" s="4">
        <v>45</v>
      </c>
      <c r="AR17" s="4">
        <v>47</v>
      </c>
      <c r="AS17" s="4">
        <v>47</v>
      </c>
      <c r="AT17" s="4">
        <v>47</v>
      </c>
      <c r="AU17" s="4">
        <v>75</v>
      </c>
      <c r="AV17" s="4">
        <v>47</v>
      </c>
      <c r="AW17" s="4">
        <v>47</v>
      </c>
      <c r="AX17" s="4">
        <v>75</v>
      </c>
      <c r="AY17" s="39">
        <v>75</v>
      </c>
      <c r="AZ17" s="1"/>
      <c r="BA17" s="1"/>
    </row>
    <row r="18" spans="3:53" x14ac:dyDescent="0.25">
      <c r="C18" s="49">
        <v>8</v>
      </c>
      <c r="D18" s="44" t="s">
        <v>40</v>
      </c>
      <c r="E18" s="46">
        <v>191471</v>
      </c>
      <c r="F18" s="46">
        <v>3913.9</v>
      </c>
      <c r="G18" s="46">
        <v>9742179313.7099991</v>
      </c>
      <c r="H18" s="58">
        <v>8</v>
      </c>
      <c r="I18" s="53">
        <f t="shared" si="0"/>
        <v>1.3420031691491294E-2</v>
      </c>
      <c r="J18" s="53">
        <f>SUM($I$11:I18)</f>
        <v>0.96927398617506355</v>
      </c>
      <c r="K18" s="53">
        <f t="shared" si="1"/>
        <v>3.3280064631675821E-2</v>
      </c>
      <c r="L18" s="53">
        <f>SUM($K$11:K18)</f>
        <v>0.8848955535319607</v>
      </c>
      <c r="Q18" s="1"/>
      <c r="R18" s="185"/>
      <c r="S18" s="3">
        <v>8</v>
      </c>
      <c r="T18" s="4">
        <v>75</v>
      </c>
      <c r="U18" s="4">
        <v>75</v>
      </c>
      <c r="V18" s="4">
        <v>75</v>
      </c>
      <c r="W18" s="4">
        <v>0</v>
      </c>
      <c r="X18" s="4">
        <v>30</v>
      </c>
      <c r="Y18" s="4">
        <v>30</v>
      </c>
      <c r="Z18" s="4">
        <v>75</v>
      </c>
      <c r="AA18" s="4">
        <v>75</v>
      </c>
      <c r="AB18" s="4">
        <v>75</v>
      </c>
      <c r="AC18" s="4">
        <v>75</v>
      </c>
      <c r="AD18" s="4">
        <v>75</v>
      </c>
      <c r="AE18" s="4">
        <v>75</v>
      </c>
      <c r="AF18" s="4">
        <v>75</v>
      </c>
      <c r="AG18" s="4">
        <v>75</v>
      </c>
      <c r="AH18" s="4">
        <v>75</v>
      </c>
      <c r="AI18" s="4">
        <v>75</v>
      </c>
      <c r="AJ18" s="4">
        <v>75</v>
      </c>
      <c r="AK18" s="4">
        <v>0</v>
      </c>
      <c r="AL18" s="4">
        <v>0</v>
      </c>
      <c r="AM18" s="4">
        <v>0</v>
      </c>
      <c r="AN18" s="4">
        <v>45</v>
      </c>
      <c r="AO18" s="4">
        <v>45</v>
      </c>
      <c r="AP18" s="4">
        <v>45</v>
      </c>
      <c r="AQ18" s="4">
        <v>45</v>
      </c>
      <c r="AR18" s="4">
        <v>47</v>
      </c>
      <c r="AS18" s="4">
        <v>47</v>
      </c>
      <c r="AT18" s="4">
        <v>47</v>
      </c>
      <c r="AU18" s="4">
        <v>75</v>
      </c>
      <c r="AV18" s="4">
        <v>47</v>
      </c>
      <c r="AW18" s="4">
        <v>47</v>
      </c>
      <c r="AX18" s="4">
        <v>75</v>
      </c>
      <c r="AY18" s="39">
        <v>75</v>
      </c>
      <c r="AZ18" s="1"/>
      <c r="BA18" s="1"/>
    </row>
    <row r="19" spans="3:53" x14ac:dyDescent="0.25">
      <c r="C19" s="49">
        <v>9</v>
      </c>
      <c r="D19" s="44" t="s">
        <v>41</v>
      </c>
      <c r="E19" s="46">
        <v>115269</v>
      </c>
      <c r="F19" s="46">
        <v>4450.38</v>
      </c>
      <c r="G19" s="46">
        <v>6668874671.3100004</v>
      </c>
      <c r="H19" s="58">
        <v>9</v>
      </c>
      <c r="I19" s="53">
        <f t="shared" si="0"/>
        <v>8.0791014464149137E-3</v>
      </c>
      <c r="J19" s="53">
        <f>SUM($I$11:I19)</f>
        <v>0.97735308762147843</v>
      </c>
      <c r="K19" s="53">
        <f t="shared" si="1"/>
        <v>2.278140988119666E-2</v>
      </c>
      <c r="L19" s="53">
        <f>SUM($K$11:K19)</f>
        <v>0.9076769634131574</v>
      </c>
      <c r="Q19" s="1"/>
      <c r="R19" s="185"/>
      <c r="S19" s="3">
        <v>9</v>
      </c>
      <c r="T19" s="4">
        <v>75</v>
      </c>
      <c r="U19" s="4">
        <v>75</v>
      </c>
      <c r="V19" s="4">
        <v>75</v>
      </c>
      <c r="W19" s="4">
        <v>0</v>
      </c>
      <c r="X19" s="4">
        <v>0</v>
      </c>
      <c r="Y19" s="4">
        <v>0</v>
      </c>
      <c r="Z19" s="4">
        <v>75</v>
      </c>
      <c r="AA19" s="4">
        <v>75</v>
      </c>
      <c r="AB19" s="4">
        <v>75</v>
      </c>
      <c r="AC19" s="4">
        <v>75</v>
      </c>
      <c r="AD19" s="4">
        <v>75</v>
      </c>
      <c r="AE19" s="4">
        <v>75</v>
      </c>
      <c r="AF19" s="4">
        <v>75</v>
      </c>
      <c r="AG19" s="4">
        <v>0</v>
      </c>
      <c r="AH19" s="4">
        <v>75</v>
      </c>
      <c r="AI19" s="4">
        <v>75</v>
      </c>
      <c r="AJ19" s="4">
        <v>75</v>
      </c>
      <c r="AK19" s="4">
        <v>0</v>
      </c>
      <c r="AL19" s="4">
        <v>0</v>
      </c>
      <c r="AM19" s="4">
        <v>0</v>
      </c>
      <c r="AN19" s="4">
        <v>45</v>
      </c>
      <c r="AO19" s="4">
        <v>45</v>
      </c>
      <c r="AP19" s="4">
        <v>45</v>
      </c>
      <c r="AQ19" s="4">
        <v>45</v>
      </c>
      <c r="AR19" s="4">
        <v>45</v>
      </c>
      <c r="AS19" s="4">
        <v>45</v>
      </c>
      <c r="AT19" s="4">
        <v>45</v>
      </c>
      <c r="AU19" s="4">
        <v>75</v>
      </c>
      <c r="AV19" s="4">
        <v>37</v>
      </c>
      <c r="AW19" s="4">
        <v>37</v>
      </c>
      <c r="AX19" s="4">
        <v>75</v>
      </c>
      <c r="AY19" s="39">
        <v>75</v>
      </c>
      <c r="AZ19" s="1"/>
      <c r="BA19" s="1"/>
    </row>
    <row r="20" spans="3:53" x14ac:dyDescent="0.25">
      <c r="C20" s="49">
        <v>10</v>
      </c>
      <c r="D20" s="44" t="s">
        <v>42</v>
      </c>
      <c r="E20" s="46">
        <v>82881</v>
      </c>
      <c r="F20" s="46">
        <v>4977.6499999999996</v>
      </c>
      <c r="G20" s="46">
        <v>5363185491.2200003</v>
      </c>
      <c r="H20" s="58">
        <v>10</v>
      </c>
      <c r="I20" s="53">
        <f t="shared" si="0"/>
        <v>5.8090554006742009E-3</v>
      </c>
      <c r="J20" s="53">
        <f>SUM($I$11:I20)</f>
        <v>0.98316214302215266</v>
      </c>
      <c r="K20" s="53">
        <f t="shared" si="1"/>
        <v>1.8321071090149795E-2</v>
      </c>
      <c r="L20" s="53">
        <f>SUM($K$11:K20)</f>
        <v>0.9259980345033072</v>
      </c>
      <c r="Q20" s="1"/>
      <c r="R20" s="185"/>
      <c r="S20" s="3">
        <v>10</v>
      </c>
      <c r="T20" s="4">
        <v>75</v>
      </c>
      <c r="U20" s="4">
        <v>75</v>
      </c>
      <c r="V20" s="4">
        <v>75</v>
      </c>
      <c r="W20" s="4">
        <v>0</v>
      </c>
      <c r="X20" s="4">
        <v>0</v>
      </c>
      <c r="Y20" s="4">
        <v>0</v>
      </c>
      <c r="Z20" s="4">
        <v>75</v>
      </c>
      <c r="AA20" s="4">
        <v>75</v>
      </c>
      <c r="AB20" s="4">
        <v>75</v>
      </c>
      <c r="AC20" s="4">
        <v>75</v>
      </c>
      <c r="AD20" s="4">
        <v>75</v>
      </c>
      <c r="AE20" s="4">
        <v>75</v>
      </c>
      <c r="AF20" s="4">
        <v>75</v>
      </c>
      <c r="AG20" s="4">
        <v>0</v>
      </c>
      <c r="AH20" s="4">
        <v>75</v>
      </c>
      <c r="AI20" s="4">
        <v>75</v>
      </c>
      <c r="AJ20" s="4">
        <v>75</v>
      </c>
      <c r="AK20" s="4">
        <v>0</v>
      </c>
      <c r="AL20" s="4">
        <v>0</v>
      </c>
      <c r="AM20" s="4">
        <v>0</v>
      </c>
      <c r="AN20" s="4">
        <v>45</v>
      </c>
      <c r="AO20" s="4">
        <v>45</v>
      </c>
      <c r="AP20" s="4">
        <v>45</v>
      </c>
      <c r="AQ20" s="4">
        <v>45</v>
      </c>
      <c r="AR20" s="4">
        <v>40</v>
      </c>
      <c r="AS20" s="4">
        <v>40</v>
      </c>
      <c r="AT20" s="4">
        <v>40</v>
      </c>
      <c r="AU20" s="4">
        <v>75</v>
      </c>
      <c r="AV20" s="4">
        <v>37</v>
      </c>
      <c r="AW20" s="4">
        <v>37</v>
      </c>
      <c r="AX20" s="4">
        <v>75</v>
      </c>
      <c r="AY20" s="39">
        <v>75</v>
      </c>
      <c r="AZ20" s="1"/>
      <c r="BA20" s="1"/>
    </row>
    <row r="21" spans="3:53" ht="15.75" thickBot="1" x14ac:dyDescent="0.3">
      <c r="C21" s="49" t="s">
        <v>46</v>
      </c>
      <c r="D21" s="44" t="s">
        <v>43</v>
      </c>
      <c r="E21" s="46">
        <v>240235</v>
      </c>
      <c r="F21" s="46">
        <v>6936.42</v>
      </c>
      <c r="G21" s="46">
        <v>21662831049.599998</v>
      </c>
      <c r="H21" s="58" t="s">
        <v>46</v>
      </c>
      <c r="I21" s="53">
        <f t="shared" si="0"/>
        <v>1.6837856977847357E-2</v>
      </c>
      <c r="J21" s="53">
        <f>SUM($I$11:I21)</f>
        <v>1</v>
      </c>
      <c r="K21" s="53">
        <f t="shared" si="1"/>
        <v>7.4001965496692801E-2</v>
      </c>
      <c r="L21" s="53">
        <f>SUM($K$11:K21)</f>
        <v>1</v>
      </c>
      <c r="Q21" s="1"/>
      <c r="R21" s="186"/>
      <c r="S21" s="40" t="s">
        <v>0</v>
      </c>
      <c r="T21" s="41">
        <v>75</v>
      </c>
      <c r="U21" s="41">
        <v>75</v>
      </c>
      <c r="V21" s="41">
        <v>75</v>
      </c>
      <c r="W21" s="41">
        <v>0</v>
      </c>
      <c r="X21" s="41">
        <v>0</v>
      </c>
      <c r="Y21" s="41">
        <v>0</v>
      </c>
      <c r="Z21" s="41">
        <v>75</v>
      </c>
      <c r="AA21" s="41">
        <v>75</v>
      </c>
      <c r="AB21" s="41">
        <v>75</v>
      </c>
      <c r="AC21" s="41">
        <v>75</v>
      </c>
      <c r="AD21" s="41">
        <v>75</v>
      </c>
      <c r="AE21" s="41">
        <v>75</v>
      </c>
      <c r="AF21" s="41">
        <v>75</v>
      </c>
      <c r="AG21" s="41">
        <v>0</v>
      </c>
      <c r="AH21" s="41">
        <v>75</v>
      </c>
      <c r="AI21" s="41">
        <v>75</v>
      </c>
      <c r="AJ21" s="41">
        <v>75</v>
      </c>
      <c r="AK21" s="41">
        <v>0</v>
      </c>
      <c r="AL21" s="41">
        <v>0</v>
      </c>
      <c r="AM21" s="41">
        <v>0</v>
      </c>
      <c r="AN21" s="41">
        <v>45</v>
      </c>
      <c r="AO21" s="41">
        <v>45</v>
      </c>
      <c r="AP21" s="41">
        <v>45</v>
      </c>
      <c r="AQ21" s="41">
        <v>45</v>
      </c>
      <c r="AR21" s="41">
        <v>40</v>
      </c>
      <c r="AS21" s="41">
        <v>40</v>
      </c>
      <c r="AT21" s="41">
        <v>40</v>
      </c>
      <c r="AU21" s="41">
        <v>75</v>
      </c>
      <c r="AV21" s="41">
        <v>32</v>
      </c>
      <c r="AW21" s="41">
        <v>22</v>
      </c>
      <c r="AX21" s="41">
        <v>75</v>
      </c>
      <c r="AY21" s="42">
        <v>75</v>
      </c>
      <c r="AZ21" s="1"/>
      <c r="BA21" s="1"/>
    </row>
    <row r="22" spans="3:53" ht="15.75" thickTop="1" x14ac:dyDescent="0.25">
      <c r="C22" s="47"/>
      <c r="D22" s="45" t="s">
        <v>44</v>
      </c>
      <c r="E22" s="43">
        <v>14267552</v>
      </c>
      <c r="F22" s="43">
        <v>33033.589999999997</v>
      </c>
      <c r="G22" s="43">
        <v>292733184912.07001</v>
      </c>
      <c r="I22" s="53">
        <f t="shared" si="0"/>
        <v>1</v>
      </c>
      <c r="J22" s="52"/>
      <c r="K22" s="53">
        <f t="shared" si="1"/>
        <v>1</v>
      </c>
      <c r="L22" s="53"/>
    </row>
    <row r="23" spans="3:53" ht="15.75" thickBot="1" x14ac:dyDescent="0.3"/>
    <row r="24" spans="3:53" ht="15.75" thickTop="1" x14ac:dyDescent="0.25">
      <c r="T24" s="189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88"/>
      <c r="AV24" s="198"/>
      <c r="AW24" s="199"/>
      <c r="AX24" s="88"/>
      <c r="AY24" s="88"/>
    </row>
    <row r="25" spans="3:53" x14ac:dyDescent="0.25">
      <c r="H25" s="183" t="s">
        <v>49</v>
      </c>
      <c r="I25" s="184"/>
      <c r="J25" s="184"/>
      <c r="K25" s="184"/>
      <c r="L25" s="184"/>
      <c r="M25" s="184"/>
      <c r="T25" s="77">
        <f>T11*$K11</f>
        <v>1.5011824145800174</v>
      </c>
      <c r="U25" s="77">
        <f t="shared" ref="U25:AJ25" si="2">U11*$K11</f>
        <v>1.5011824145800174</v>
      </c>
      <c r="V25" s="77">
        <f t="shared" si="2"/>
        <v>1.5011824145800174</v>
      </c>
      <c r="W25" s="77">
        <f t="shared" si="2"/>
        <v>1.5011824145800174</v>
      </c>
      <c r="X25" s="77">
        <f t="shared" si="2"/>
        <v>1.5011824145800174</v>
      </c>
      <c r="Y25" s="77">
        <f t="shared" si="2"/>
        <v>1.5011824145800174</v>
      </c>
      <c r="Z25" s="77">
        <f t="shared" si="2"/>
        <v>1.5011824145800174</v>
      </c>
      <c r="AA25" s="77">
        <f t="shared" si="2"/>
        <v>1.5011824145800174</v>
      </c>
      <c r="AB25" s="77">
        <f t="shared" si="2"/>
        <v>1.5011824145800174</v>
      </c>
      <c r="AC25" s="77">
        <f t="shared" si="2"/>
        <v>1.5011824145800174</v>
      </c>
      <c r="AD25" s="77">
        <f t="shared" si="2"/>
        <v>1.5011824145800174</v>
      </c>
      <c r="AE25" s="77">
        <f t="shared" si="2"/>
        <v>1.5011824145800174</v>
      </c>
      <c r="AF25" s="77">
        <f t="shared" si="2"/>
        <v>1.5011824145800174</v>
      </c>
      <c r="AG25" s="77">
        <f t="shared" si="2"/>
        <v>1.5011824145800174</v>
      </c>
      <c r="AH25" s="77">
        <f t="shared" si="2"/>
        <v>1.5011824145800174</v>
      </c>
      <c r="AI25" s="77">
        <f t="shared" si="2"/>
        <v>1.5011824145800174</v>
      </c>
      <c r="AJ25" s="77">
        <f t="shared" si="2"/>
        <v>1.5011824145800174</v>
      </c>
      <c r="AK25" s="47">
        <f>AK11*$K11</f>
        <v>1.5011824145800174</v>
      </c>
      <c r="AL25" s="47">
        <f t="shared" ref="AL25:AT25" si="3">AL11*$K11</f>
        <v>1.5011824145800174</v>
      </c>
      <c r="AM25" s="47">
        <f t="shared" si="3"/>
        <v>1.5011824145800174</v>
      </c>
      <c r="AN25" s="47">
        <f t="shared" si="3"/>
        <v>1.5011824145800174</v>
      </c>
      <c r="AO25" s="47">
        <f t="shared" si="3"/>
        <v>1.5011824145800174</v>
      </c>
      <c r="AP25" s="47">
        <f t="shared" si="3"/>
        <v>1.5011824145800174</v>
      </c>
      <c r="AQ25" s="47">
        <f t="shared" si="3"/>
        <v>1.5011824145800174</v>
      </c>
      <c r="AR25" s="47">
        <f t="shared" si="3"/>
        <v>1.5011824145800174</v>
      </c>
      <c r="AS25" s="47">
        <f t="shared" si="3"/>
        <v>1.5011824145800174</v>
      </c>
      <c r="AT25" s="47">
        <f t="shared" si="3"/>
        <v>1.5011824145800174</v>
      </c>
      <c r="AU25" s="77">
        <f>AU11*$K11</f>
        <v>1.5011824145800174</v>
      </c>
      <c r="AV25" s="47">
        <f t="shared" ref="AV25:AW35" si="4">AV11*$K11</f>
        <v>1.5011824145800174</v>
      </c>
      <c r="AW25" s="47">
        <f t="shared" si="4"/>
        <v>1.5011824145800174</v>
      </c>
      <c r="AX25" s="77">
        <f>AX11*$K11</f>
        <v>1.5011824145800174</v>
      </c>
      <c r="AY25" s="77">
        <f>AY11*$K11</f>
        <v>1.5011824145800174</v>
      </c>
      <c r="AZ25" s="2">
        <v>1</v>
      </c>
    </row>
    <row r="26" spans="3:53" x14ac:dyDescent="0.25">
      <c r="T26" s="77">
        <f>(1/1.5*T11+0.5/1.5*T12)*$K12</f>
        <v>13.004368320422822</v>
      </c>
      <c r="U26" s="77">
        <f t="shared" ref="U26:AJ26" si="5">(1/1.5*U11+0.5/1.5*U12)*$K12</f>
        <v>13.004368320422822</v>
      </c>
      <c r="V26" s="77">
        <f t="shared" si="5"/>
        <v>13.004368320422822</v>
      </c>
      <c r="W26" s="77">
        <f t="shared" si="5"/>
        <v>13.004368320422822</v>
      </c>
      <c r="X26" s="77">
        <f t="shared" si="5"/>
        <v>13.004368320422822</v>
      </c>
      <c r="Y26" s="77">
        <f t="shared" si="5"/>
        <v>13.004368320422822</v>
      </c>
      <c r="Z26" s="77">
        <f t="shared" si="5"/>
        <v>13.004368320422822</v>
      </c>
      <c r="AA26" s="77">
        <f t="shared" si="5"/>
        <v>13.004368320422822</v>
      </c>
      <c r="AB26" s="77">
        <f t="shared" si="5"/>
        <v>13.004368320422822</v>
      </c>
      <c r="AC26" s="77">
        <f t="shared" si="5"/>
        <v>13.004368320422822</v>
      </c>
      <c r="AD26" s="77">
        <f t="shared" si="5"/>
        <v>13.004368320422822</v>
      </c>
      <c r="AE26" s="77">
        <f t="shared" si="5"/>
        <v>13.004368320422822</v>
      </c>
      <c r="AF26" s="77">
        <f t="shared" si="5"/>
        <v>13.004368320422822</v>
      </c>
      <c r="AG26" s="77">
        <f t="shared" si="5"/>
        <v>13.004368320422822</v>
      </c>
      <c r="AH26" s="77">
        <f t="shared" si="5"/>
        <v>13.004368320422822</v>
      </c>
      <c r="AI26" s="77">
        <f t="shared" si="5"/>
        <v>13.004368320422822</v>
      </c>
      <c r="AJ26" s="77">
        <f t="shared" si="5"/>
        <v>13.004368320422822</v>
      </c>
      <c r="AK26" s="47">
        <f t="shared" ref="AK26:AT35" si="6">AK12*$K12</f>
        <v>13.004368320422824</v>
      </c>
      <c r="AL26" s="47">
        <f t="shared" si="6"/>
        <v>13.004368320422824</v>
      </c>
      <c r="AM26" s="47">
        <f t="shared" si="6"/>
        <v>13.004368320422824</v>
      </c>
      <c r="AN26" s="47">
        <f t="shared" si="6"/>
        <v>13.004368320422824</v>
      </c>
      <c r="AO26" s="47">
        <f t="shared" si="6"/>
        <v>13.004368320422824</v>
      </c>
      <c r="AP26" s="47">
        <f t="shared" si="6"/>
        <v>13.004368320422824</v>
      </c>
      <c r="AQ26" s="47">
        <f t="shared" si="6"/>
        <v>13.004368320422824</v>
      </c>
      <c r="AR26" s="47">
        <f t="shared" si="6"/>
        <v>13.004368320422824</v>
      </c>
      <c r="AS26" s="47">
        <f t="shared" si="6"/>
        <v>13.004368320422824</v>
      </c>
      <c r="AT26" s="47">
        <f t="shared" si="6"/>
        <v>13.004368320422824</v>
      </c>
      <c r="AU26" s="77">
        <f>(1/1.5*AU11+0.5/1.5*AU12)*$K12</f>
        <v>13.004368320422822</v>
      </c>
      <c r="AV26" s="47">
        <f t="shared" si="4"/>
        <v>13.004368320422824</v>
      </c>
      <c r="AW26" s="47">
        <f t="shared" si="4"/>
        <v>13.004368320422824</v>
      </c>
      <c r="AX26" s="77">
        <f>(1/1.5*AX11+0.5/1.5*AX12)*$K12</f>
        <v>13.004368320422822</v>
      </c>
      <c r="AY26" s="77">
        <f>(1/1.5*AY11+0.5/1.5*AY12)*$K12</f>
        <v>13.004368320422822</v>
      </c>
      <c r="AZ26" s="2">
        <v>2</v>
      </c>
    </row>
    <row r="27" spans="3:53" x14ac:dyDescent="0.25">
      <c r="T27" s="77">
        <f>(1/2.5*T11+1/2.5*T12+0.5/2.5*T13)*$K13</f>
        <v>19.984905364249745</v>
      </c>
      <c r="U27" s="77">
        <f t="shared" ref="U27:AJ27" si="7">(1/2.5*U11+1/2.5*U12+0.5/2.5*U13)*$K13</f>
        <v>19.984905364249745</v>
      </c>
      <c r="V27" s="77">
        <f t="shared" si="7"/>
        <v>19.984905364249745</v>
      </c>
      <c r="W27" s="77">
        <f t="shared" si="7"/>
        <v>19.984905364249745</v>
      </c>
      <c r="X27" s="77">
        <f t="shared" si="7"/>
        <v>19.984905364249745</v>
      </c>
      <c r="Y27" s="77">
        <f t="shared" si="7"/>
        <v>19.984905364249745</v>
      </c>
      <c r="Z27" s="77">
        <f t="shared" si="7"/>
        <v>20.392760575765045</v>
      </c>
      <c r="AA27" s="77">
        <f t="shared" si="7"/>
        <v>20.392760575765045</v>
      </c>
      <c r="AB27" s="77">
        <f t="shared" si="7"/>
        <v>20.392760575765045</v>
      </c>
      <c r="AC27" s="77">
        <f t="shared" si="7"/>
        <v>20.392760575765045</v>
      </c>
      <c r="AD27" s="77">
        <f t="shared" si="7"/>
        <v>20.392760575765045</v>
      </c>
      <c r="AE27" s="77">
        <f t="shared" si="7"/>
        <v>20.392760575765045</v>
      </c>
      <c r="AF27" s="77">
        <f t="shared" si="7"/>
        <v>20.392760575765045</v>
      </c>
      <c r="AG27" s="77">
        <f t="shared" si="7"/>
        <v>20.392760575765045</v>
      </c>
      <c r="AH27" s="77">
        <f t="shared" si="7"/>
        <v>20.392760575765045</v>
      </c>
      <c r="AI27" s="77">
        <f t="shared" si="7"/>
        <v>20.392760575765045</v>
      </c>
      <c r="AJ27" s="77">
        <f t="shared" si="7"/>
        <v>20.392760575765045</v>
      </c>
      <c r="AK27" s="47">
        <f t="shared" si="6"/>
        <v>20.392760575765045</v>
      </c>
      <c r="AL27" s="47">
        <f t="shared" si="6"/>
        <v>20.392760575765045</v>
      </c>
      <c r="AM27" s="47">
        <f t="shared" si="6"/>
        <v>20.392760575765045</v>
      </c>
      <c r="AN27" s="47">
        <f t="shared" si="6"/>
        <v>20.392760575765045</v>
      </c>
      <c r="AO27" s="47">
        <f t="shared" si="6"/>
        <v>20.392760575765045</v>
      </c>
      <c r="AP27" s="47">
        <f t="shared" si="6"/>
        <v>20.392760575765045</v>
      </c>
      <c r="AQ27" s="47">
        <f t="shared" si="6"/>
        <v>20.392760575765045</v>
      </c>
      <c r="AR27" s="47">
        <f t="shared" si="6"/>
        <v>20.392760575765045</v>
      </c>
      <c r="AS27" s="47">
        <f t="shared" si="6"/>
        <v>20.392760575765045</v>
      </c>
      <c r="AT27" s="47">
        <f t="shared" si="6"/>
        <v>20.392760575765045</v>
      </c>
      <c r="AU27" s="77">
        <f>(1/2.5*AU11+1/2.5*AU12+0.5/2.5*AU13)*$K13</f>
        <v>20.392760575765045</v>
      </c>
      <c r="AV27" s="47">
        <f t="shared" si="4"/>
        <v>20.392760575765045</v>
      </c>
      <c r="AW27" s="47">
        <f t="shared" si="4"/>
        <v>20.392760575765045</v>
      </c>
      <c r="AX27" s="77">
        <f>(1/2.5*AX11+1/2.5*AX12+0.5/2.5*AX13)*$K13</f>
        <v>20.392760575765045</v>
      </c>
      <c r="AY27" s="77">
        <f>(1/2.5*AY11+1/2.5*AY12+0.5/2.5*AY13)*$K13</f>
        <v>20.392760575765045</v>
      </c>
      <c r="AZ27" s="2">
        <v>3</v>
      </c>
    </row>
    <row r="28" spans="3:53" x14ac:dyDescent="0.25">
      <c r="T28" s="77">
        <f>(1/3.5*T11+1/3.5*T12+1/3.5*T13+0.5/3.5*T14)*$K14</f>
        <v>18.249493716112891</v>
      </c>
      <c r="U28" s="77">
        <f t="shared" ref="U28:AJ28" si="8">(1/3.5*U11+1/3.5*U12+1/3.5*U13+0.5/3.5*U14)*$K14</f>
        <v>18.249493716112891</v>
      </c>
      <c r="V28" s="77">
        <f t="shared" si="8"/>
        <v>18.249493716112891</v>
      </c>
      <c r="W28" s="77">
        <f t="shared" si="8"/>
        <v>18.249493716112891</v>
      </c>
      <c r="X28" s="77">
        <f t="shared" si="8"/>
        <v>18.249493716112891</v>
      </c>
      <c r="Y28" s="77">
        <f t="shared" si="8"/>
        <v>18.249493716112891</v>
      </c>
      <c r="Z28" s="77">
        <f t="shared" si="8"/>
        <v>19.224657502470073</v>
      </c>
      <c r="AA28" s="77">
        <f t="shared" si="8"/>
        <v>19.224657502470073</v>
      </c>
      <c r="AB28" s="77">
        <f t="shared" si="8"/>
        <v>19.224657502470073</v>
      </c>
      <c r="AC28" s="77">
        <f t="shared" si="8"/>
        <v>19.224657502470073</v>
      </c>
      <c r="AD28" s="77">
        <f t="shared" si="8"/>
        <v>19.224657502470073</v>
      </c>
      <c r="AE28" s="77">
        <f t="shared" si="8"/>
        <v>19.224657502470073</v>
      </c>
      <c r="AF28" s="77">
        <f t="shared" si="8"/>
        <v>19.224657502470073</v>
      </c>
      <c r="AG28" s="77">
        <f t="shared" si="8"/>
        <v>19.503275727143553</v>
      </c>
      <c r="AH28" s="77">
        <f t="shared" si="8"/>
        <v>19.503275727143553</v>
      </c>
      <c r="AI28" s="77">
        <f t="shared" si="8"/>
        <v>19.503275727143553</v>
      </c>
      <c r="AJ28" s="77">
        <f t="shared" si="8"/>
        <v>19.224657502470073</v>
      </c>
      <c r="AK28" s="47">
        <f t="shared" si="6"/>
        <v>7.8013102908574208</v>
      </c>
      <c r="AL28" s="47">
        <f t="shared" si="6"/>
        <v>7.8013102908574208</v>
      </c>
      <c r="AM28" s="47">
        <f t="shared" si="6"/>
        <v>18.528111940786374</v>
      </c>
      <c r="AN28" s="47">
        <f t="shared" si="6"/>
        <v>18.528111940786374</v>
      </c>
      <c r="AO28" s="47">
        <f t="shared" si="6"/>
        <v>18.528111940786374</v>
      </c>
      <c r="AP28" s="47">
        <f t="shared" si="6"/>
        <v>18.528111940786374</v>
      </c>
      <c r="AQ28" s="47">
        <f t="shared" si="6"/>
        <v>18.528111940786374</v>
      </c>
      <c r="AR28" s="47">
        <f t="shared" si="6"/>
        <v>18.918177455329246</v>
      </c>
      <c r="AS28" s="47">
        <f t="shared" si="6"/>
        <v>19.503275727143553</v>
      </c>
      <c r="AT28" s="47">
        <f t="shared" si="6"/>
        <v>19.503275727143553</v>
      </c>
      <c r="AU28" s="77">
        <f>(1/3.5*AU11+1/3.5*AU12+1/3.5*AU13+0.5/3.5*AU14)*$K14</f>
        <v>19.503275727143553</v>
      </c>
      <c r="AV28" s="47">
        <f t="shared" si="4"/>
        <v>19.503275727143553</v>
      </c>
      <c r="AW28" s="47">
        <f t="shared" si="4"/>
        <v>19.503275727143553</v>
      </c>
      <c r="AX28" s="77">
        <f>(1/3.5*AX11+1/3.5*AX12+1/3.5*AX13+0.5/3.5*AX14)*$K14</f>
        <v>19.503275727143553</v>
      </c>
      <c r="AY28" s="77">
        <f>(1/3.5*AY11+1/3.5*AY12+1/3.5*AY13+0.5/3.5*AY14)*$K14</f>
        <v>19.503275727143553</v>
      </c>
      <c r="AZ28" s="2">
        <v>4</v>
      </c>
    </row>
    <row r="29" spans="3:53" x14ac:dyDescent="0.25">
      <c r="T29" s="77">
        <f>(1/4.5*T11+1/4.5*T12+1/4.5*T13+1/4.5*T14+0.5/4.5*T15)*$K15</f>
        <v>14.23940070190487</v>
      </c>
      <c r="U29" s="77">
        <f t="shared" ref="U29:AJ29" si="9">(1/4.5*U11+1/4.5*U12+1/4.5*U13+1/4.5*U14+0.5/4.5*U15)*$K15</f>
        <v>14.23940070190487</v>
      </c>
      <c r="V29" s="77">
        <f t="shared" si="9"/>
        <v>14.23940070190487</v>
      </c>
      <c r="W29" s="77">
        <f t="shared" si="9"/>
        <v>14.23940070190487</v>
      </c>
      <c r="X29" s="77">
        <f t="shared" si="9"/>
        <v>14.23940070190487</v>
      </c>
      <c r="Y29" s="77">
        <f t="shared" si="9"/>
        <v>14.23940070190487</v>
      </c>
      <c r="Z29" s="77">
        <f t="shared" si="9"/>
        <v>15.389165975971721</v>
      </c>
      <c r="AA29" s="77">
        <f t="shared" si="9"/>
        <v>15.389165975971721</v>
      </c>
      <c r="AB29" s="77">
        <f t="shared" si="9"/>
        <v>15.389165975971721</v>
      </c>
      <c r="AC29" s="77">
        <f t="shared" si="9"/>
        <v>15.389165975971721</v>
      </c>
      <c r="AD29" s="77">
        <f t="shared" si="9"/>
        <v>15.389165975971721</v>
      </c>
      <c r="AE29" s="77">
        <f t="shared" si="9"/>
        <v>15.389165975971721</v>
      </c>
      <c r="AF29" s="77">
        <f t="shared" si="9"/>
        <v>15.389165975971721</v>
      </c>
      <c r="AG29" s="77">
        <f t="shared" si="9"/>
        <v>15.919826871694887</v>
      </c>
      <c r="AH29" s="77">
        <f t="shared" si="9"/>
        <v>15.919826871694887</v>
      </c>
      <c r="AI29" s="77">
        <f t="shared" si="9"/>
        <v>15.919826871694887</v>
      </c>
      <c r="AJ29" s="77">
        <f t="shared" si="9"/>
        <v>15.389165975971721</v>
      </c>
      <c r="AK29" s="47">
        <f t="shared" si="6"/>
        <v>3.1839653743389773</v>
      </c>
      <c r="AL29" s="47">
        <f t="shared" si="6"/>
        <v>3.1839653743389773</v>
      </c>
      <c r="AM29" s="47">
        <f t="shared" si="6"/>
        <v>11.939870153771166</v>
      </c>
      <c r="AN29" s="47">
        <f t="shared" si="6"/>
        <v>11.939870153771166</v>
      </c>
      <c r="AO29" s="47">
        <f t="shared" si="6"/>
        <v>11.939870153771166</v>
      </c>
      <c r="AP29" s="47">
        <f t="shared" si="6"/>
        <v>11.939870153771166</v>
      </c>
      <c r="AQ29" s="47">
        <f t="shared" si="6"/>
        <v>11.939870153771166</v>
      </c>
      <c r="AR29" s="47">
        <f t="shared" si="6"/>
        <v>12.258266691205062</v>
      </c>
      <c r="AS29" s="47">
        <f t="shared" si="6"/>
        <v>12.258266691205062</v>
      </c>
      <c r="AT29" s="47">
        <f t="shared" si="6"/>
        <v>12.258266691205062</v>
      </c>
      <c r="AU29" s="77">
        <f>(1/4.5*AU11+1/4.5*AU12+1/4.5*AU13+1/4.5*AU14+0.5/4.5*AU15)*$K15</f>
        <v>15.742939906453831</v>
      </c>
      <c r="AV29" s="47">
        <f t="shared" si="4"/>
        <v>13.531852840940653</v>
      </c>
      <c r="AW29" s="47">
        <f t="shared" si="4"/>
        <v>13.531852840940653</v>
      </c>
      <c r="AX29" s="77">
        <f>(1/4.5*AX11+1/4.5*AX12+1/4.5*AX13+1/4.5*AX14+0.5/4.5*AX15)*$K15</f>
        <v>15.742939906453831</v>
      </c>
      <c r="AY29" s="77">
        <f>(1/4.5*AY11+1/4.5*AY12+1/4.5*AY13+1/4.5*AY14+0.5/4.5*AY15)*$K15</f>
        <v>15.742939906453831</v>
      </c>
      <c r="AZ29" s="2">
        <v>5</v>
      </c>
    </row>
    <row r="30" spans="3:53" x14ac:dyDescent="0.25">
      <c r="T30" s="77">
        <f>(1/5.5*T11+1/5.5*T12+1/5.5*T13+1/5.5*T14+1/5.5*T15+0.5/5.5*T16)*$K16</f>
        <v>8.0969683926943681</v>
      </c>
      <c r="U30" s="77">
        <f t="shared" ref="U30:AJ30" si="10">(1/5.5*U11+1/5.5*U12+1/5.5*U13+1/5.5*U14+1/5.5*U15+0.5/5.5*U16)*$K16</f>
        <v>8.0969683926943681</v>
      </c>
      <c r="V30" s="77">
        <f t="shared" si="10"/>
        <v>8.0969683926943681</v>
      </c>
      <c r="W30" s="77">
        <v>0</v>
      </c>
      <c r="X30" s="77">
        <f t="shared" si="10"/>
        <v>7.7154358506302358</v>
      </c>
      <c r="Y30" s="77">
        <f t="shared" si="10"/>
        <v>7.7154358506302358</v>
      </c>
      <c r="Z30" s="77">
        <f t="shared" si="10"/>
        <v>8.7752484674750448</v>
      </c>
      <c r="AA30" s="77">
        <f t="shared" si="10"/>
        <v>8.7752484674750448</v>
      </c>
      <c r="AB30" s="77">
        <f t="shared" si="10"/>
        <v>8.7752484674750448</v>
      </c>
      <c r="AC30" s="77">
        <f t="shared" si="10"/>
        <v>8.7752484674750448</v>
      </c>
      <c r="AD30" s="77">
        <f t="shared" si="10"/>
        <v>8.7752484674750448</v>
      </c>
      <c r="AE30" s="77">
        <f t="shared" si="10"/>
        <v>8.7752484674750448</v>
      </c>
      <c r="AF30" s="77">
        <f t="shared" si="10"/>
        <v>8.7752484674750448</v>
      </c>
      <c r="AG30" s="77">
        <f t="shared" si="10"/>
        <v>9.1143885048653868</v>
      </c>
      <c r="AH30" s="77">
        <f t="shared" si="10"/>
        <v>9.1143885048653868</v>
      </c>
      <c r="AI30" s="77">
        <f t="shared" si="10"/>
        <v>9.1143885048653868</v>
      </c>
      <c r="AJ30" s="77">
        <f t="shared" si="10"/>
        <v>8.7752484674750448</v>
      </c>
      <c r="AK30" s="47">
        <f t="shared" si="6"/>
        <v>0.93263510282343487</v>
      </c>
      <c r="AL30" s="47">
        <f t="shared" si="6"/>
        <v>0.93263510282343487</v>
      </c>
      <c r="AM30" s="47">
        <f t="shared" si="6"/>
        <v>4.6631755141171745</v>
      </c>
      <c r="AN30" s="47">
        <f t="shared" si="6"/>
        <v>4.6631755141171745</v>
      </c>
      <c r="AO30" s="47">
        <f t="shared" si="6"/>
        <v>4.6631755141171745</v>
      </c>
      <c r="AP30" s="47">
        <f t="shared" si="6"/>
        <v>4.6631755141171745</v>
      </c>
      <c r="AQ30" s="47">
        <f t="shared" si="6"/>
        <v>4.6631755141171745</v>
      </c>
      <c r="AR30" s="47">
        <f t="shared" si="6"/>
        <v>4.8497025346818612</v>
      </c>
      <c r="AS30" s="47">
        <f t="shared" si="6"/>
        <v>4.8497025346818612</v>
      </c>
      <c r="AT30" s="47">
        <f t="shared" si="6"/>
        <v>4.8497025346818612</v>
      </c>
      <c r="AU30" s="77">
        <f>(1/5.5*AU11+1/5.5*AU12+1/5.5*AU13+1/5.5*AU14+1/5.5*AU15+0.5/5.5*AU16)*$K16</f>
        <v>8.9448184861702167</v>
      </c>
      <c r="AV30" s="47">
        <f t="shared" si="4"/>
        <v>4.942966044964205</v>
      </c>
      <c r="AW30" s="47">
        <f t="shared" si="4"/>
        <v>4.942966044964205</v>
      </c>
      <c r="AX30" s="77">
        <f>(1/5.5*AX11+1/5.5*AX12+1/5.5*AX13+1/5.5*AX14+1/5.5*AX15+0.5/5.5*AX16)*$K16</f>
        <v>8.9448184861702167</v>
      </c>
      <c r="AY30" s="77">
        <f>(1/5.5*AY11+1/5.5*AY12+1/5.5*AY13+1/5.5*AY14+1/5.5*AY15+0.5/5.5*AY16)*$K16</f>
        <v>8.9448184861702167</v>
      </c>
      <c r="AZ30" s="2">
        <v>6</v>
      </c>
    </row>
    <row r="31" spans="3:53" x14ac:dyDescent="0.25">
      <c r="T31" s="77">
        <f>(1/6.5*T11+1/6.5*T12+1/6.5*T13+1/6.5*T14+1/6.5*T15+1/6.5*T16+0.5/6.5*T17)*$K17</f>
        <v>4.686716359359643</v>
      </c>
      <c r="U31" s="77">
        <f t="shared" ref="U31:AJ31" si="11">(1/6.5*U11+1/6.5*U12+1/6.5*U13+1/6.5*U14+1/6.5*U15+1/6.5*U16+0.5/6.5*U17)*$K17</f>
        <v>4.686716359359643</v>
      </c>
      <c r="V31" s="77">
        <f t="shared" si="11"/>
        <v>4.686716359359643</v>
      </c>
      <c r="W31" s="77">
        <v>0</v>
      </c>
      <c r="X31" s="77">
        <f t="shared" si="11"/>
        <v>4.1141311027862928</v>
      </c>
      <c r="Y31" s="77">
        <f t="shared" si="11"/>
        <v>4.1141311027862928</v>
      </c>
      <c r="Z31" s="77">
        <f t="shared" si="11"/>
        <v>5.0260261410327391</v>
      </c>
      <c r="AA31" s="77">
        <f t="shared" si="11"/>
        <v>5.0260261410327391</v>
      </c>
      <c r="AB31" s="77">
        <f t="shared" si="11"/>
        <v>5.0260261410327391</v>
      </c>
      <c r="AC31" s="77">
        <f t="shared" si="11"/>
        <v>5.0260261410327391</v>
      </c>
      <c r="AD31" s="77">
        <f t="shared" si="11"/>
        <v>5.0260261410327391</v>
      </c>
      <c r="AE31" s="77">
        <f t="shared" si="11"/>
        <v>5.0260261410327391</v>
      </c>
      <c r="AF31" s="77">
        <f t="shared" si="11"/>
        <v>5.0260261410327391</v>
      </c>
      <c r="AG31" s="77">
        <f t="shared" si="11"/>
        <v>5.1956810318692872</v>
      </c>
      <c r="AH31" s="77">
        <f t="shared" si="11"/>
        <v>5.1956810318692872</v>
      </c>
      <c r="AI31" s="77">
        <f t="shared" si="11"/>
        <v>5.1956810318692872</v>
      </c>
      <c r="AJ31" s="77">
        <f t="shared" si="11"/>
        <v>5.0260261410327391</v>
      </c>
      <c r="AK31" s="47">
        <f t="shared" si="6"/>
        <v>0</v>
      </c>
      <c r="AL31" s="47">
        <f t="shared" si="6"/>
        <v>0</v>
      </c>
      <c r="AM31" s="47">
        <f t="shared" si="6"/>
        <v>2.2055135808751261</v>
      </c>
      <c r="AN31" s="47">
        <f t="shared" si="6"/>
        <v>2.481202778484517</v>
      </c>
      <c r="AO31" s="47">
        <f t="shared" si="6"/>
        <v>2.481202778484517</v>
      </c>
      <c r="AP31" s="47">
        <f t="shared" si="6"/>
        <v>2.481202778484517</v>
      </c>
      <c r="AQ31" s="47">
        <f t="shared" si="6"/>
        <v>2.481202778484517</v>
      </c>
      <c r="AR31" s="47">
        <f t="shared" si="6"/>
        <v>2.591478457528273</v>
      </c>
      <c r="AS31" s="47">
        <f t="shared" si="6"/>
        <v>2.591478457528273</v>
      </c>
      <c r="AT31" s="47">
        <f t="shared" si="6"/>
        <v>2.591478457528273</v>
      </c>
      <c r="AU31" s="77">
        <f>(1/6.5*AU11+1/6.5*AU12+1/6.5*AU13+1/6.5*AU14+1/6.5*AU15+1/6.5*AU16+0.5/6.5*AU17)*$K17</f>
        <v>5.1108535864510136</v>
      </c>
      <c r="AV31" s="47">
        <f t="shared" si="4"/>
        <v>2.591478457528273</v>
      </c>
      <c r="AW31" s="47">
        <f t="shared" si="4"/>
        <v>2.591478457528273</v>
      </c>
      <c r="AX31" s="77">
        <f>(1/6.5*AX11+1/6.5*AX12+1/6.5*AX13+1/6.5*AX14+1/6.5*AX15+1/6.5*AX16+0.5/6.5*AX17)*$K17</f>
        <v>5.1108535864510136</v>
      </c>
      <c r="AY31" s="77">
        <f>(1/6.5*AY11+1/6.5*AY12+1/6.5*AY13+1/6.5*AY14+1/6.5*AY15+1/6.5*AY16+0.5/6.5*AY17)*$K17</f>
        <v>5.1108535864510136</v>
      </c>
      <c r="AZ31" s="2">
        <v>7</v>
      </c>
    </row>
    <row r="32" spans="3:53" x14ac:dyDescent="0.25">
      <c r="T32" s="77">
        <f>(1/7.5*T11+1/7.5*T12+1/7.5*T13+1/7.5*T14+1/7.5*T15+1/7.5*T16+1/7.5*T17+0.5/7.5*T18)*$K18</f>
        <v>2.784432074183544</v>
      </c>
      <c r="U32" s="77">
        <f t="shared" ref="U32:AJ32" si="12">(1/7.5*U11+1/7.5*U12+1/7.5*U13+1/7.5*U14+1/7.5*U15+1/7.5*U16+1/7.5*U17+0.5/7.5*U18)*$K18</f>
        <v>2.784432074183544</v>
      </c>
      <c r="V32" s="77">
        <f t="shared" si="12"/>
        <v>2.784432074183544</v>
      </c>
      <c r="W32" s="77">
        <v>0</v>
      </c>
      <c r="X32" s="77">
        <f t="shared" si="12"/>
        <v>2.2852311047084064</v>
      </c>
      <c r="Y32" s="77">
        <f t="shared" si="12"/>
        <v>2.2852311047084064</v>
      </c>
      <c r="Z32" s="77">
        <f t="shared" si="12"/>
        <v>2.9619257522191482</v>
      </c>
      <c r="AA32" s="77">
        <f t="shared" si="12"/>
        <v>2.9619257522191482</v>
      </c>
      <c r="AB32" s="77">
        <f t="shared" si="12"/>
        <v>2.9619257522191482</v>
      </c>
      <c r="AC32" s="77">
        <f t="shared" si="12"/>
        <v>2.9619257522191482</v>
      </c>
      <c r="AD32" s="77">
        <f t="shared" si="12"/>
        <v>2.9619257522191482</v>
      </c>
      <c r="AE32" s="77">
        <f t="shared" si="12"/>
        <v>2.9619257522191482</v>
      </c>
      <c r="AF32" s="77">
        <f t="shared" si="12"/>
        <v>2.9619257522191482</v>
      </c>
      <c r="AG32" s="77">
        <f t="shared" si="12"/>
        <v>3.0506725912369506</v>
      </c>
      <c r="AH32" s="77">
        <f t="shared" si="12"/>
        <v>3.0506725912369506</v>
      </c>
      <c r="AI32" s="77">
        <f t="shared" si="12"/>
        <v>3.0506725912369506</v>
      </c>
      <c r="AJ32" s="77">
        <f t="shared" si="12"/>
        <v>2.9619257522191482</v>
      </c>
      <c r="AK32" s="47">
        <f t="shared" si="6"/>
        <v>0</v>
      </c>
      <c r="AL32" s="47">
        <f t="shared" si="6"/>
        <v>0</v>
      </c>
      <c r="AM32" s="47">
        <f t="shared" si="6"/>
        <v>0</v>
      </c>
      <c r="AN32" s="47">
        <f t="shared" si="6"/>
        <v>1.4976029084254119</v>
      </c>
      <c r="AO32" s="47">
        <f t="shared" si="6"/>
        <v>1.4976029084254119</v>
      </c>
      <c r="AP32" s="47">
        <f t="shared" si="6"/>
        <v>1.4976029084254119</v>
      </c>
      <c r="AQ32" s="47">
        <f t="shared" si="6"/>
        <v>1.4976029084254119</v>
      </c>
      <c r="AR32" s="47">
        <f t="shared" si="6"/>
        <v>1.5641630376887636</v>
      </c>
      <c r="AS32" s="47">
        <f t="shared" si="6"/>
        <v>1.5641630376887636</v>
      </c>
      <c r="AT32" s="47">
        <f t="shared" si="6"/>
        <v>1.5641630376887636</v>
      </c>
      <c r="AU32" s="77">
        <f>(1/7.5*AU11+1/7.5*AU12+1/7.5*AU13+1/7.5*AU14+1/7.5*AU15+1/7.5*AU16+1/7.5*AU17+0.5/7.5*AU18)*$K18</f>
        <v>3.0062991717280494</v>
      </c>
      <c r="AV32" s="47">
        <f t="shared" si="4"/>
        <v>1.5641630376887636</v>
      </c>
      <c r="AW32" s="47">
        <f t="shared" si="4"/>
        <v>1.5641630376887636</v>
      </c>
      <c r="AX32" s="77">
        <f>(1/7.5*AX11+1/7.5*AX12+1/7.5*AX13+1/7.5*AX14+1/7.5*AX15+1/7.5*AX16+1/7.5*AX17+0.5/7.5*AX18)*$K18</f>
        <v>3.0062991717280494</v>
      </c>
      <c r="AY32" s="77">
        <f>(1/7.5*AY11+1/7.5*AY12+1/7.5*AY13+1/7.5*AY14+1/7.5*AY15+1/7.5*AY16+1/7.5*AY17+0.5/7.5*AY18)*$K18</f>
        <v>3.0062991717280494</v>
      </c>
      <c r="AZ32" s="2">
        <v>8</v>
      </c>
    </row>
    <row r="33" spans="8:52" x14ac:dyDescent="0.25">
      <c r="T33" s="77">
        <f>(1/8.5*T11+1/8.5*T12+1/8.5*T13+1/8.5*T14+1/8.5*T15+1/8.5*T16+1/8.5*T17+1/8.5*T18+0.5/8.5*T19)*$K19</f>
        <v>1.8828165225341946</v>
      </c>
      <c r="U33" s="77">
        <f t="shared" ref="U33:AJ33" si="13">(1/8.5*U11+1/8.5*U12+1/8.5*U13+1/8.5*U14+1/8.5*U15+1/8.5*U16+1/8.5*U17+1/8.5*U18+0.5/8.5*U19)*$K19</f>
        <v>1.8828165225341946</v>
      </c>
      <c r="V33" s="77">
        <f t="shared" si="13"/>
        <v>1.8828165225341946</v>
      </c>
      <c r="W33" s="77">
        <v>0</v>
      </c>
      <c r="X33" s="77">
        <f t="shared" si="13"/>
        <v>1.4204879102393213</v>
      </c>
      <c r="Y33" s="77">
        <f t="shared" si="13"/>
        <v>1.4204879102393213</v>
      </c>
      <c r="Z33" s="77">
        <f t="shared" si="13"/>
        <v>1.9900231572692375</v>
      </c>
      <c r="AA33" s="77">
        <f t="shared" si="13"/>
        <v>1.9900231572692375</v>
      </c>
      <c r="AB33" s="77">
        <f t="shared" si="13"/>
        <v>1.9900231572692375</v>
      </c>
      <c r="AC33" s="77">
        <f t="shared" si="13"/>
        <v>1.9900231572692375</v>
      </c>
      <c r="AD33" s="77">
        <f t="shared" si="13"/>
        <v>1.9900231572692375</v>
      </c>
      <c r="AE33" s="77">
        <f t="shared" si="13"/>
        <v>1.9900231572692375</v>
      </c>
      <c r="AF33" s="77">
        <f t="shared" si="13"/>
        <v>1.9900231572692375</v>
      </c>
      <c r="AG33" s="77">
        <v>0</v>
      </c>
      <c r="AH33" s="77">
        <f t="shared" si="13"/>
        <v>2.0436264746367589</v>
      </c>
      <c r="AI33" s="77">
        <f t="shared" si="13"/>
        <v>2.0436264746367589</v>
      </c>
      <c r="AJ33" s="77">
        <f t="shared" si="13"/>
        <v>1.9900231572692375</v>
      </c>
      <c r="AK33" s="47">
        <f t="shared" si="6"/>
        <v>0</v>
      </c>
      <c r="AL33" s="47">
        <f t="shared" si="6"/>
        <v>0</v>
      </c>
      <c r="AM33" s="47">
        <f t="shared" si="6"/>
        <v>0</v>
      </c>
      <c r="AN33" s="47">
        <f t="shared" si="6"/>
        <v>1.0251634446538498</v>
      </c>
      <c r="AO33" s="47">
        <f t="shared" si="6"/>
        <v>1.0251634446538498</v>
      </c>
      <c r="AP33" s="47">
        <f t="shared" si="6"/>
        <v>1.0251634446538498</v>
      </c>
      <c r="AQ33" s="47">
        <f t="shared" si="6"/>
        <v>1.0251634446538498</v>
      </c>
      <c r="AR33" s="47">
        <f t="shared" si="6"/>
        <v>1.0251634446538498</v>
      </c>
      <c r="AS33" s="47">
        <f t="shared" si="6"/>
        <v>1.0251634446538498</v>
      </c>
      <c r="AT33" s="47">
        <f t="shared" si="6"/>
        <v>1.0251634446538498</v>
      </c>
      <c r="AU33" s="77">
        <f>(1/8.5*AU11+1/8.5*AU12+1/8.5*AU13+1/8.5*AU14+1/8.5*AU15+1/8.5*AU16+1/8.5*AU17+1/8.5*AU18+0.5/8.5*AU19)*$K19</f>
        <v>2.0168248159529982</v>
      </c>
      <c r="AV33" s="47">
        <f t="shared" si="4"/>
        <v>0.8429121656042764</v>
      </c>
      <c r="AW33" s="47">
        <f t="shared" si="4"/>
        <v>0.8429121656042764</v>
      </c>
      <c r="AX33" s="77">
        <f>(1/8.5*AX11+1/8.5*AX12+1/8.5*AX13+1/8.5*AX14+1/8.5*AX15+1/8.5*AX16+1/8.5*AX17+1/8.5*AX18+0.5/8.5*AX19)*$K19</f>
        <v>2.0168248159529982</v>
      </c>
      <c r="AY33" s="77">
        <f>(1/8.5*AY11+1/8.5*AY12+1/8.5*AY13+1/8.5*AY14+1/8.5*AY15+1/8.5*AY16+1/8.5*AY17+1/8.5*AY18+0.5/8.5*AY19)*$K19</f>
        <v>2.0168248159529982</v>
      </c>
      <c r="AZ33" s="2">
        <v>9</v>
      </c>
    </row>
    <row r="34" spans="8:52" x14ac:dyDescent="0.25">
      <c r="T34" s="77">
        <f>(1/9.5*T11+1/9.5*T12+1/9.5*T13+1/9.5*T14+1/9.5*T15+1/9.5*T16+1/9.5*T17+1/9.5*T18+1/9.5*T19+0.5/9.5*T20)*$K20</f>
        <v>1.499435028693838</v>
      </c>
      <c r="U34" s="77">
        <f t="shared" ref="U34:AJ34" si="14">(1/9.5*U11+1/9.5*U12+1/9.5*U13+1/9.5*U14+1/9.5*U15+1/9.5*U16+1/9.5*U17+1/9.5*U18+1/9.5*U19+0.5/9.5*U20)*$K20</f>
        <v>1.499435028693838</v>
      </c>
      <c r="V34" s="77">
        <f t="shared" si="14"/>
        <v>1.499435028693838</v>
      </c>
      <c r="W34" s="77">
        <v>0</v>
      </c>
      <c r="X34" s="77">
        <f t="shared" si="14"/>
        <v>1.0221229134504619</v>
      </c>
      <c r="Y34" s="77">
        <f t="shared" si="14"/>
        <v>1.0221229134504619</v>
      </c>
      <c r="Z34" s="77">
        <f t="shared" si="14"/>
        <v>1.5765763806523638</v>
      </c>
      <c r="AA34" s="77">
        <f t="shared" si="14"/>
        <v>1.5765763806523638</v>
      </c>
      <c r="AB34" s="77">
        <f t="shared" si="14"/>
        <v>1.5765763806523638</v>
      </c>
      <c r="AC34" s="77">
        <f t="shared" si="14"/>
        <v>1.5765763806523638</v>
      </c>
      <c r="AD34" s="77">
        <f t="shared" si="14"/>
        <v>1.5765763806523638</v>
      </c>
      <c r="AE34" s="77">
        <f t="shared" si="14"/>
        <v>1.5765763806523638</v>
      </c>
      <c r="AF34" s="77">
        <f t="shared" si="14"/>
        <v>1.5765763806523638</v>
      </c>
      <c r="AG34" s="77">
        <v>0</v>
      </c>
      <c r="AH34" s="77">
        <f t="shared" si="14"/>
        <v>1.6151470566316266</v>
      </c>
      <c r="AI34" s="77">
        <f t="shared" si="14"/>
        <v>1.6151470566316266</v>
      </c>
      <c r="AJ34" s="77">
        <f t="shared" si="14"/>
        <v>1.5765763806523638</v>
      </c>
      <c r="AK34" s="47">
        <f t="shared" si="6"/>
        <v>0</v>
      </c>
      <c r="AL34" s="47">
        <f t="shared" si="6"/>
        <v>0</v>
      </c>
      <c r="AM34" s="47">
        <f t="shared" si="6"/>
        <v>0</v>
      </c>
      <c r="AN34" s="47">
        <f t="shared" si="6"/>
        <v>0.82444819905674083</v>
      </c>
      <c r="AO34" s="47">
        <f t="shared" si="6"/>
        <v>0.82444819905674083</v>
      </c>
      <c r="AP34" s="47">
        <f t="shared" si="6"/>
        <v>0.82444819905674083</v>
      </c>
      <c r="AQ34" s="47">
        <f t="shared" si="6"/>
        <v>0.82444819905674083</v>
      </c>
      <c r="AR34" s="47">
        <f t="shared" si="6"/>
        <v>0.73284284360599183</v>
      </c>
      <c r="AS34" s="47">
        <f t="shared" si="6"/>
        <v>0.73284284360599183</v>
      </c>
      <c r="AT34" s="47">
        <f t="shared" si="6"/>
        <v>0.73284284360599183</v>
      </c>
      <c r="AU34" s="77">
        <f>(1/9.5*AU11+1/9.5*AU12+1/9.5*AU13+1/9.5*AU14+1/9.5*AU15+1/9.5*AU16+1/9.5*AU17+1/9.5*AU18+1/9.5*AU19+0.5/9.5*AU20)*$K20</f>
        <v>1.5958617186419952</v>
      </c>
      <c r="AV34" s="47">
        <f t="shared" si="4"/>
        <v>0.67787963033554244</v>
      </c>
      <c r="AW34" s="47">
        <f t="shared" si="4"/>
        <v>0.67787963033554244</v>
      </c>
      <c r="AX34" s="77">
        <f>(1/9.5*AX11+1/9.5*AX12+1/9.5*AX13+1/9.5*AX14+1/9.5*AX15+1/9.5*AX16+1/9.5*AX17+1/9.5*AX18+1/9.5*AX19+0.5/9.5*AX20)*$K20</f>
        <v>1.5958617186419952</v>
      </c>
      <c r="AY34" s="77">
        <f>(1/9.5*AY11+1/9.5*AY12+1/9.5*AY13+1/9.5*AY14+1/9.5*AY15+1/9.5*AY16+1/9.5*AY17+1/9.5*AY18+1/9.5*AY19+0.5/9.5*AY20)*$K20</f>
        <v>1.5958617186419952</v>
      </c>
      <c r="AZ34" s="2">
        <v>10</v>
      </c>
    </row>
    <row r="35" spans="8:52" x14ac:dyDescent="0.25">
      <c r="T35" s="77">
        <f>(1/10.5*T11+1/10.5*T12+1/10.5*T13+1/10.5*T14+1/10.5*T15+1/10.5*T16+1/10.5*T17+1/10.5*T18+1/10.5*T19+1/10.5*T20+0.5/10.5*T21)*$K21</f>
        <v>6.0082548177076749</v>
      </c>
      <c r="U35" s="77">
        <f t="shared" ref="U35:AJ35" si="15">(1/10.5*U11+1/10.5*U12+1/10.5*U13+1/10.5*U14+1/10.5*U15+1/10.5*U16+1/10.5*U17+1/10.5*U18+1/10.5*U19+1/10.5*U20+0.5/10.5*U21)*$K21</f>
        <v>6.0082548177076749</v>
      </c>
      <c r="V35" s="77">
        <f t="shared" si="15"/>
        <v>6.0082548177076749</v>
      </c>
      <c r="W35" s="77">
        <v>0</v>
      </c>
      <c r="X35" s="77">
        <f t="shared" si="15"/>
        <v>3.7353373060235402</v>
      </c>
      <c r="Y35" s="77">
        <f t="shared" si="15"/>
        <v>3.7353373060235402</v>
      </c>
      <c r="Z35" s="77">
        <f t="shared" si="15"/>
        <v>6.2901670672188859</v>
      </c>
      <c r="AA35" s="77">
        <f t="shared" si="15"/>
        <v>6.2901670672188859</v>
      </c>
      <c r="AB35" s="77">
        <f t="shared" si="15"/>
        <v>6.2901670672188859</v>
      </c>
      <c r="AC35" s="77">
        <f t="shared" si="15"/>
        <v>6.2901670672188859</v>
      </c>
      <c r="AD35" s="77">
        <f t="shared" si="15"/>
        <v>6.2901670672188859</v>
      </c>
      <c r="AE35" s="77">
        <f t="shared" si="15"/>
        <v>6.2901670672188859</v>
      </c>
      <c r="AF35" s="77">
        <f t="shared" si="15"/>
        <v>6.2901670672188859</v>
      </c>
      <c r="AG35" s="77">
        <v>0</v>
      </c>
      <c r="AH35" s="77">
        <f t="shared" si="15"/>
        <v>6.4311231919744918</v>
      </c>
      <c r="AI35" s="77">
        <f t="shared" si="15"/>
        <v>6.4311231919744918</v>
      </c>
      <c r="AJ35" s="77">
        <f t="shared" si="15"/>
        <v>6.2901670672188859</v>
      </c>
      <c r="AK35" s="47">
        <f t="shared" si="6"/>
        <v>0</v>
      </c>
      <c r="AL35" s="47">
        <f t="shared" si="6"/>
        <v>0</v>
      </c>
      <c r="AM35" s="47">
        <f t="shared" si="6"/>
        <v>0</v>
      </c>
      <c r="AN35" s="47">
        <f t="shared" si="6"/>
        <v>3.330088447351176</v>
      </c>
      <c r="AO35" s="47">
        <f t="shared" si="6"/>
        <v>3.330088447351176</v>
      </c>
      <c r="AP35" s="47">
        <f t="shared" si="6"/>
        <v>3.330088447351176</v>
      </c>
      <c r="AQ35" s="47">
        <f t="shared" si="6"/>
        <v>3.330088447351176</v>
      </c>
      <c r="AR35" s="47">
        <f t="shared" si="6"/>
        <v>2.960078619867712</v>
      </c>
      <c r="AS35" s="47">
        <f t="shared" si="6"/>
        <v>2.960078619867712</v>
      </c>
      <c r="AT35" s="47">
        <f t="shared" si="6"/>
        <v>2.960078619867712</v>
      </c>
      <c r="AU35" s="77">
        <f>(1/10.5*AU11+1/10.5*AU12+1/10.5*AU13+1/10.5*AU14+1/10.5*AU15+1/10.5*AU16+1/10.5*AU17+1/10.5*AU18+1/10.5*AU19+1/10.5*AU20+0.5/10.5*AU21)*$K21</f>
        <v>6.3606451295966897</v>
      </c>
      <c r="AV35" s="47">
        <f t="shared" si="4"/>
        <v>2.3680628958941696</v>
      </c>
      <c r="AW35" s="47">
        <f t="shared" si="4"/>
        <v>1.6280432409272416</v>
      </c>
      <c r="AX35" s="77">
        <f>(1/10.5*AX11+1/10.5*AX12+1/10.5*AX13+1/10.5*AX14+1/10.5*AX15+1/10.5*AX16+1/10.5*AX17+1/10.5*AX18+1/10.5*AX19+1/10.5*AX20+0.5/10.5*AX21)*$K21</f>
        <v>6.3606451295966897</v>
      </c>
      <c r="AY35" s="77">
        <f>(1/10.5*AY11+1/10.5*AY12+1/10.5*AY13+1/10.5*AY14+1/10.5*AY15+1/10.5*AY16+1/10.5*AY17+1/10.5*AY18+1/10.5*AY19+1/10.5*AY20+0.5/10.5*AY21)*$K21</f>
        <v>6.3606451295966897</v>
      </c>
      <c r="AZ35" s="58" t="s">
        <v>46</v>
      </c>
    </row>
    <row r="36" spans="8:52" x14ac:dyDescent="0.25">
      <c r="T36" s="68">
        <v>1995</v>
      </c>
      <c r="U36" s="68">
        <v>1996</v>
      </c>
      <c r="V36" s="68">
        <v>1997</v>
      </c>
      <c r="W36" s="68">
        <v>1998</v>
      </c>
      <c r="X36" s="68">
        <v>1999</v>
      </c>
      <c r="Y36" s="68">
        <v>2000</v>
      </c>
      <c r="Z36" s="68">
        <v>2001</v>
      </c>
      <c r="AA36" s="68">
        <v>2002</v>
      </c>
      <c r="AB36" s="68">
        <v>2003</v>
      </c>
      <c r="AC36" s="68">
        <v>2004</v>
      </c>
      <c r="AD36" s="68">
        <v>2005</v>
      </c>
      <c r="AE36" s="68">
        <v>2006</v>
      </c>
      <c r="AF36" s="68">
        <v>2007</v>
      </c>
      <c r="AG36" s="68">
        <v>2008</v>
      </c>
      <c r="AH36" s="68">
        <v>2009</v>
      </c>
      <c r="AI36" s="68">
        <v>2010</v>
      </c>
      <c r="AJ36" s="68">
        <v>2011</v>
      </c>
      <c r="AK36" s="68">
        <v>2012</v>
      </c>
      <c r="AL36" s="68">
        <v>2013</v>
      </c>
      <c r="AM36" s="68">
        <v>2014</v>
      </c>
      <c r="AN36" s="68">
        <v>2015</v>
      </c>
      <c r="AO36" s="68">
        <v>2016</v>
      </c>
      <c r="AP36" s="68">
        <v>2017</v>
      </c>
      <c r="AQ36" s="68">
        <v>2018</v>
      </c>
      <c r="AR36" s="68">
        <v>2019</v>
      </c>
      <c r="AS36" s="68">
        <v>2020</v>
      </c>
      <c r="AT36" s="68">
        <v>2021</v>
      </c>
      <c r="AU36" s="68">
        <v>2022</v>
      </c>
      <c r="AV36" s="68">
        <v>2023</v>
      </c>
      <c r="AW36" s="68">
        <v>2024</v>
      </c>
      <c r="AX36" s="68">
        <v>2025</v>
      </c>
      <c r="AY36" s="68" t="s">
        <v>52</v>
      </c>
    </row>
    <row r="37" spans="8:52" x14ac:dyDescent="0.25">
      <c r="S37" s="47" t="s">
        <v>51</v>
      </c>
      <c r="T37" s="128">
        <f>SUM(T25:T35)</f>
        <v>91.937973712443608</v>
      </c>
      <c r="U37" s="128">
        <f t="shared" ref="U37:AT37" si="16">SUM(U25:U35)</f>
        <v>91.937973712443608</v>
      </c>
      <c r="V37" s="128">
        <f t="shared" si="16"/>
        <v>91.937973712443608</v>
      </c>
      <c r="W37" s="128">
        <f t="shared" si="16"/>
        <v>66.979350517270348</v>
      </c>
      <c r="X37" s="128">
        <f t="shared" si="16"/>
        <v>87.272096705108581</v>
      </c>
      <c r="Y37" s="128">
        <f t="shared" si="16"/>
        <v>87.272096705108581</v>
      </c>
      <c r="Z37" s="128">
        <f t="shared" si="16"/>
        <v>96.132101755077116</v>
      </c>
      <c r="AA37" s="128">
        <f t="shared" si="16"/>
        <v>96.132101755077116</v>
      </c>
      <c r="AB37" s="128">
        <f t="shared" si="16"/>
        <v>96.132101755077116</v>
      </c>
      <c r="AC37" s="128">
        <f t="shared" si="16"/>
        <v>96.132101755077116</v>
      </c>
      <c r="AD37" s="128">
        <f t="shared" si="16"/>
        <v>96.132101755077116</v>
      </c>
      <c r="AE37" s="128">
        <f t="shared" si="16"/>
        <v>96.132101755077116</v>
      </c>
      <c r="AF37" s="128">
        <f t="shared" si="16"/>
        <v>96.132101755077116</v>
      </c>
      <c r="AG37" s="128">
        <f t="shared" si="16"/>
        <v>87.68215603757794</v>
      </c>
      <c r="AH37" s="128">
        <f t="shared" si="16"/>
        <v>97.772052760820813</v>
      </c>
      <c r="AI37" s="128">
        <f t="shared" si="16"/>
        <v>97.772052760820813</v>
      </c>
      <c r="AJ37" s="128">
        <f t="shared" si="16"/>
        <v>96.132101755077116</v>
      </c>
      <c r="AK37" s="128">
        <f t="shared" si="16"/>
        <v>46.816222078787717</v>
      </c>
      <c r="AL37" s="128">
        <f t="shared" si="16"/>
        <v>46.816222078787717</v>
      </c>
      <c r="AM37" s="128">
        <f t="shared" si="16"/>
        <v>72.234982500317713</v>
      </c>
      <c r="AN37" s="128">
        <f t="shared" si="16"/>
        <v>79.18797469741429</v>
      </c>
      <c r="AO37" s="128">
        <f t="shared" si="16"/>
        <v>79.18797469741429</v>
      </c>
      <c r="AP37" s="128">
        <f t="shared" si="16"/>
        <v>79.18797469741429</v>
      </c>
      <c r="AQ37" s="128">
        <f t="shared" si="16"/>
        <v>79.18797469741429</v>
      </c>
      <c r="AR37" s="128">
        <f t="shared" si="16"/>
        <v>79.798184395328661</v>
      </c>
      <c r="AS37" s="128">
        <f t="shared" si="16"/>
        <v>80.383282667142964</v>
      </c>
      <c r="AT37" s="128">
        <f t="shared" si="16"/>
        <v>80.383282667142964</v>
      </c>
      <c r="AU37" s="140">
        <f>SUM(AU25:AU35)</f>
        <v>97.179829852906238</v>
      </c>
      <c r="AV37" s="140">
        <v>97.179829852906238</v>
      </c>
      <c r="AW37" s="140">
        <v>97.179829852906238</v>
      </c>
      <c r="AX37" s="128">
        <f>SUM(AX25:AX35)</f>
        <v>97.179829852906238</v>
      </c>
      <c r="AY37" s="128">
        <f>SUM(AY25:AY35)</f>
        <v>97.179829852906238</v>
      </c>
    </row>
    <row r="38" spans="8:52" x14ac:dyDescent="0.25">
      <c r="P38" s="76" t="s">
        <v>84</v>
      </c>
      <c r="S38" s="47" t="s">
        <v>53</v>
      </c>
      <c r="T38" s="138">
        <v>5.4</v>
      </c>
      <c r="U38" s="138">
        <v>3.9</v>
      </c>
      <c r="V38" s="138">
        <v>1.7</v>
      </c>
      <c r="W38" s="138">
        <v>1.8</v>
      </c>
      <c r="X38" s="138">
        <v>1.6</v>
      </c>
      <c r="Y38" s="138">
        <v>2.6</v>
      </c>
      <c r="Z38" s="138">
        <v>2.7</v>
      </c>
      <c r="AA38" s="138">
        <v>2.4</v>
      </c>
      <c r="AB38" s="138">
        <v>2.5</v>
      </c>
      <c r="AC38" s="138">
        <v>2</v>
      </c>
      <c r="AD38" s="138">
        <v>1.7</v>
      </c>
      <c r="AE38" s="138">
        <v>2</v>
      </c>
      <c r="AF38" s="138">
        <v>1.7</v>
      </c>
      <c r="AG38" s="138">
        <v>3.2</v>
      </c>
      <c r="AH38" s="138">
        <v>0.7</v>
      </c>
      <c r="AI38" s="138">
        <v>1.6</v>
      </c>
      <c r="AJ38" s="138">
        <v>2.7</v>
      </c>
      <c r="AK38" s="138">
        <v>3</v>
      </c>
      <c r="AL38" s="138">
        <v>1.1000000000000001</v>
      </c>
      <c r="AM38" s="138">
        <v>0.2</v>
      </c>
      <c r="AN38" s="138">
        <v>-0.1</v>
      </c>
      <c r="AO38" s="138">
        <v>-0.1</v>
      </c>
      <c r="AP38" s="138">
        <v>1.1000000000000001</v>
      </c>
      <c r="AQ38" s="138">
        <v>1.1000000000000001</v>
      </c>
      <c r="AR38" s="138">
        <v>0.5</v>
      </c>
      <c r="AS38" s="138">
        <v>-0.3</v>
      </c>
      <c r="AT38" s="138">
        <v>1.9</v>
      </c>
      <c r="AU38" s="138">
        <v>8.1</v>
      </c>
      <c r="AV38" s="138">
        <v>5.4</v>
      </c>
      <c r="AW38" s="138">
        <v>0.8</v>
      </c>
      <c r="AX38" s="138"/>
      <c r="AY38" s="138"/>
    </row>
    <row r="39" spans="8:52" x14ac:dyDescent="0.25">
      <c r="S39" s="47" t="s">
        <v>88</v>
      </c>
      <c r="T39" s="146">
        <v>124935</v>
      </c>
      <c r="U39" s="146">
        <v>137230</v>
      </c>
      <c r="V39" s="146">
        <v>148647</v>
      </c>
      <c r="W39" s="146">
        <v>150592</v>
      </c>
      <c r="X39" s="146">
        <v>159184</v>
      </c>
      <c r="Y39" s="146">
        <v>163359</v>
      </c>
      <c r="Z39" s="146">
        <v>171078</v>
      </c>
      <c r="AA39" s="146">
        <v>179289</v>
      </c>
      <c r="AB39" s="146">
        <v>186660</v>
      </c>
      <c r="AC39" s="146">
        <v>194099</v>
      </c>
      <c r="AD39" s="146">
        <v>201036</v>
      </c>
      <c r="AE39" s="146">
        <v>207732</v>
      </c>
      <c r="AF39" s="146">
        <v>215679</v>
      </c>
      <c r="AG39" s="146">
        <v>224169</v>
      </c>
      <c r="AH39" s="146">
        <v>233048</v>
      </c>
      <c r="AI39" s="146">
        <v>238613</v>
      </c>
      <c r="AJ39" s="146">
        <v>244990</v>
      </c>
      <c r="AK39" s="146">
        <v>250444</v>
      </c>
      <c r="AL39" s="146">
        <v>255633</v>
      </c>
      <c r="AM39" s="146">
        <v>257343</v>
      </c>
      <c r="AN39" s="146">
        <v>259353</v>
      </c>
      <c r="AO39" s="146">
        <v>261173</v>
      </c>
      <c r="AP39" s="146">
        <v>263815</v>
      </c>
      <c r="AQ39" s="146">
        <v>268693</v>
      </c>
      <c r="AR39" s="146">
        <v>275050</v>
      </c>
      <c r="AS39" s="146">
        <v>281376</v>
      </c>
      <c r="AT39" s="146">
        <v>286212</v>
      </c>
      <c r="AU39" s="146">
        <v>296798</v>
      </c>
      <c r="AV39" s="146">
        <v>318436</v>
      </c>
      <c r="AW39" s="146">
        <v>335922</v>
      </c>
      <c r="AX39" s="147"/>
      <c r="AY39" s="147"/>
    </row>
    <row r="40" spans="8:52" x14ac:dyDescent="0.25">
      <c r="S40" s="82" t="s">
        <v>79</v>
      </c>
      <c r="T40" s="87">
        <f>T39*98.5%</f>
        <v>123060.97499999999</v>
      </c>
      <c r="U40" s="87">
        <f t="shared" ref="U40:AS40" si="17">U39*98.5%</f>
        <v>135171.54999999999</v>
      </c>
      <c r="V40" s="87">
        <f t="shared" si="17"/>
        <v>146417.29499999998</v>
      </c>
      <c r="W40" s="87">
        <f t="shared" si="17"/>
        <v>148333.12</v>
      </c>
      <c r="X40" s="87">
        <f t="shared" si="17"/>
        <v>156796.24</v>
      </c>
      <c r="Y40" s="87">
        <f t="shared" si="17"/>
        <v>160908.61499999999</v>
      </c>
      <c r="Z40" s="87">
        <f t="shared" si="17"/>
        <v>168511.83</v>
      </c>
      <c r="AA40" s="87">
        <f t="shared" si="17"/>
        <v>176599.66500000001</v>
      </c>
      <c r="AB40" s="87">
        <f t="shared" si="17"/>
        <v>183860.1</v>
      </c>
      <c r="AC40" s="87">
        <f t="shared" si="17"/>
        <v>191187.51499999998</v>
      </c>
      <c r="AD40" s="87">
        <f t="shared" si="17"/>
        <v>198020.46</v>
      </c>
      <c r="AE40" s="87">
        <f t="shared" si="17"/>
        <v>204616.02</v>
      </c>
      <c r="AF40" s="87">
        <f t="shared" si="17"/>
        <v>212443.815</v>
      </c>
      <c r="AG40" s="87">
        <f t="shared" si="17"/>
        <v>220806.465</v>
      </c>
      <c r="AH40" s="87">
        <f t="shared" si="17"/>
        <v>229552.28</v>
      </c>
      <c r="AI40" s="87">
        <f t="shared" si="17"/>
        <v>235033.80499999999</v>
      </c>
      <c r="AJ40" s="87">
        <f t="shared" si="17"/>
        <v>241315.15</v>
      </c>
      <c r="AK40" s="87">
        <f t="shared" si="17"/>
        <v>246687.34</v>
      </c>
      <c r="AL40" s="87">
        <f t="shared" si="17"/>
        <v>251798.505</v>
      </c>
      <c r="AM40" s="87">
        <f t="shared" si="17"/>
        <v>253482.85500000001</v>
      </c>
      <c r="AN40" s="87">
        <f t="shared" si="17"/>
        <v>255462.70499999999</v>
      </c>
      <c r="AO40" s="87">
        <f t="shared" si="17"/>
        <v>257255.405</v>
      </c>
      <c r="AP40" s="87">
        <f t="shared" si="17"/>
        <v>259857.77499999999</v>
      </c>
      <c r="AQ40" s="87">
        <f t="shared" si="17"/>
        <v>264662.60499999998</v>
      </c>
      <c r="AR40" s="87">
        <f t="shared" si="17"/>
        <v>270924.25</v>
      </c>
      <c r="AS40" s="87">
        <f t="shared" si="17"/>
        <v>277155.36</v>
      </c>
      <c r="AT40" s="87">
        <f>AT39*98.5%</f>
        <v>281918.82</v>
      </c>
      <c r="AU40" s="87">
        <f>(AT40)*(1-2.5%)*(1+AT38%*AU37%)+'Elab. elasticità'!AU40-'Elab. elasticità'!AT40*(1-2.5%)*(1+AT38%*'Elab. elasticità'!AU37%)</f>
        <v>292346.02999999997</v>
      </c>
      <c r="AV40" s="87">
        <f>(AU40)*(1-2.5%)*(1+AU38%*AV37%)+'Elab. elasticità'!AV40-'Elab. elasticità'!AU40*(1-2.5%)*(1+AU38%*'Elab. elasticità'!AV37%)</f>
        <v>317413.32574393472</v>
      </c>
      <c r="AW40" s="87">
        <f>(AV40)*(1-2.5%)*(1+AV38%*AW37%)+'Elab. elasticità'!AW40-'Elab. elasticità'!AV40*(1-2.5%)*(1+AV38%*'Elab. elasticità'!AW37%)</f>
        <v>337542.4914864641</v>
      </c>
      <c r="AX40" s="87"/>
      <c r="AY40" s="87"/>
    </row>
    <row r="41" spans="8:52" x14ac:dyDescent="0.25">
      <c r="S41" s="47" t="s">
        <v>87</v>
      </c>
      <c r="T41" s="47" t="s">
        <v>50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87">
        <v>272660</v>
      </c>
      <c r="AS41" s="87">
        <v>278468</v>
      </c>
      <c r="AT41" s="87">
        <v>283411</v>
      </c>
      <c r="AU41" s="87">
        <v>292103</v>
      </c>
      <c r="AV41" s="87">
        <v>314894</v>
      </c>
      <c r="AW41" s="47"/>
      <c r="AX41" s="47"/>
      <c r="AY41" s="47"/>
    </row>
    <row r="42" spans="8:52" x14ac:dyDescent="0.25">
      <c r="P42" s="2" t="s">
        <v>83</v>
      </c>
      <c r="Q42" s="75">
        <v>2.5000000000000001E-2</v>
      </c>
      <c r="S42" s="82" t="s">
        <v>80</v>
      </c>
      <c r="T42" s="87">
        <f>(T40+(T40*(1-2.5%)))/2</f>
        <v>121522.71281249999</v>
      </c>
      <c r="U42" s="87">
        <f t="shared" ref="U42:AT42" si="18">(U40+(U40*(1-2.5%)))/2</f>
        <v>133481.90562499998</v>
      </c>
      <c r="V42" s="87">
        <f t="shared" si="18"/>
        <v>144587.0788125</v>
      </c>
      <c r="W42" s="87">
        <f t="shared" si="18"/>
        <v>146478.95600000001</v>
      </c>
      <c r="X42" s="87">
        <f t="shared" si="18"/>
        <v>154836.28699999998</v>
      </c>
      <c r="Y42" s="87">
        <f>(Y40+(Y40*(1-2.5%)))/2</f>
        <v>158897.25731249998</v>
      </c>
      <c r="Z42" s="87">
        <f t="shared" si="18"/>
        <v>166405.43212499999</v>
      </c>
      <c r="AA42" s="87">
        <f t="shared" si="18"/>
        <v>174392.16918750003</v>
      </c>
      <c r="AB42" s="87">
        <f t="shared" si="18"/>
        <v>181561.84875</v>
      </c>
      <c r="AC42" s="87">
        <f t="shared" si="18"/>
        <v>188797.67106249998</v>
      </c>
      <c r="AD42" s="87">
        <f t="shared" si="18"/>
        <v>195545.20425000001</v>
      </c>
      <c r="AE42" s="87">
        <f t="shared" si="18"/>
        <v>202058.31974999997</v>
      </c>
      <c r="AF42" s="87">
        <f t="shared" si="18"/>
        <v>209788.26731249999</v>
      </c>
      <c r="AG42" s="87">
        <f t="shared" si="18"/>
        <v>218046.38418749999</v>
      </c>
      <c r="AH42" s="87">
        <f t="shared" si="18"/>
        <v>226682.87650000001</v>
      </c>
      <c r="AI42" s="87">
        <f t="shared" si="18"/>
        <v>232095.8824375</v>
      </c>
      <c r="AJ42" s="87">
        <f t="shared" si="18"/>
        <v>238298.71062500001</v>
      </c>
      <c r="AK42" s="87">
        <f t="shared" si="18"/>
        <v>243603.74825</v>
      </c>
      <c r="AL42" s="87">
        <f t="shared" si="18"/>
        <v>248651.02368749998</v>
      </c>
      <c r="AM42" s="87">
        <f t="shared" si="18"/>
        <v>250314.31931250001</v>
      </c>
      <c r="AN42" s="87">
        <f t="shared" si="18"/>
        <v>252269.4211875</v>
      </c>
      <c r="AO42" s="87">
        <f t="shared" si="18"/>
        <v>254039.71243750001</v>
      </c>
      <c r="AP42" s="87">
        <f t="shared" si="18"/>
        <v>256609.55281249998</v>
      </c>
      <c r="AQ42" s="87">
        <f t="shared" si="18"/>
        <v>261354.3224375</v>
      </c>
      <c r="AR42" s="87">
        <f t="shared" si="18"/>
        <v>267537.69687500002</v>
      </c>
      <c r="AS42" s="87">
        <f t="shared" si="18"/>
        <v>273690.91799999995</v>
      </c>
      <c r="AT42" s="87">
        <f t="shared" si="18"/>
        <v>278394.83475000004</v>
      </c>
      <c r="AU42" s="87">
        <f>(AU40+(AU40*(1-2.5%)))/2</f>
        <v>288691.70462499995</v>
      </c>
      <c r="AV42" s="87">
        <f>(AV40+(AV40*(1-2.5%)))/2</f>
        <v>313445.65917213552</v>
      </c>
      <c r="AW42" s="87">
        <f>(AW40+(AW40*(1-2.5%)))/2</f>
        <v>333323.21034288331</v>
      </c>
      <c r="AX42" s="82"/>
      <c r="AY42" s="82"/>
      <c r="AZ42" s="2" t="s">
        <v>163</v>
      </c>
    </row>
    <row r="44" spans="8:52" x14ac:dyDescent="0.25">
      <c r="H44" s="183" t="s">
        <v>50</v>
      </c>
      <c r="I44" s="184"/>
      <c r="J44" s="184"/>
      <c r="K44" s="184"/>
      <c r="L44" s="184"/>
      <c r="M44" s="184"/>
      <c r="T44" s="68">
        <v>1995</v>
      </c>
      <c r="U44" s="68">
        <v>1996</v>
      </c>
      <c r="V44" s="68">
        <v>1997</v>
      </c>
      <c r="W44" s="68">
        <v>1998</v>
      </c>
      <c r="X44" s="68">
        <v>1999</v>
      </c>
      <c r="Y44" s="68">
        <v>2000</v>
      </c>
      <c r="Z44" s="68">
        <v>2001</v>
      </c>
      <c r="AA44" s="68">
        <v>2002</v>
      </c>
      <c r="AB44" s="68">
        <v>2003</v>
      </c>
      <c r="AC44" s="68">
        <v>2004</v>
      </c>
      <c r="AD44" s="68">
        <v>2005</v>
      </c>
      <c r="AE44" s="68">
        <v>2006</v>
      </c>
      <c r="AF44" s="68">
        <v>2007</v>
      </c>
      <c r="AG44" s="68">
        <v>2008</v>
      </c>
      <c r="AH44" s="68">
        <v>2009</v>
      </c>
      <c r="AI44" s="68">
        <v>2010</v>
      </c>
      <c r="AJ44" s="86">
        <v>2011</v>
      </c>
      <c r="AK44" s="68">
        <v>2012</v>
      </c>
      <c r="AL44" s="68">
        <v>2013</v>
      </c>
      <c r="AM44" s="68">
        <v>2014</v>
      </c>
      <c r="AN44" s="68">
        <v>2015</v>
      </c>
      <c r="AO44" s="68">
        <v>2016</v>
      </c>
      <c r="AP44" s="68">
        <v>2017</v>
      </c>
      <c r="AQ44" s="68">
        <v>2018</v>
      </c>
      <c r="AR44" s="68">
        <v>2019</v>
      </c>
      <c r="AS44" s="68">
        <v>2020</v>
      </c>
      <c r="AT44" s="99">
        <v>2021</v>
      </c>
      <c r="AU44" s="90">
        <v>2022</v>
      </c>
      <c r="AV44" s="68">
        <v>2023</v>
      </c>
      <c r="AW44" s="68">
        <v>2024</v>
      </c>
      <c r="AX44" s="68">
        <v>2025</v>
      </c>
      <c r="AY44" s="68" t="s">
        <v>52</v>
      </c>
    </row>
    <row r="45" spans="8:52" x14ac:dyDescent="0.25">
      <c r="S45" s="83" t="s">
        <v>85</v>
      </c>
      <c r="T45" s="100" t="s">
        <v>50</v>
      </c>
      <c r="U45" s="100">
        <f>T42*T38%*U37%</f>
        <v>6033.1780670510479</v>
      </c>
      <c r="V45" s="100">
        <f t="shared" ref="V45:AN45" si="19">U42*U38%*V37%</f>
        <v>4786.1018128708702</v>
      </c>
      <c r="W45" s="100">
        <f t="shared" si="19"/>
        <v>1646.3392674486072</v>
      </c>
      <c r="X45" s="100">
        <f t="shared" si="19"/>
        <v>2301.0346103931624</v>
      </c>
      <c r="Y45" s="100">
        <f t="shared" si="19"/>
        <v>2162.0619860038314</v>
      </c>
      <c r="Z45" s="100">
        <f t="shared" si="19"/>
        <v>3971.5331002276589</v>
      </c>
      <c r="AA45" s="100">
        <f t="shared" si="19"/>
        <v>4319.1640620822818</v>
      </c>
      <c r="AB45" s="100">
        <f t="shared" si="19"/>
        <v>4023.5245808691307</v>
      </c>
      <c r="AC45" s="100">
        <f t="shared" si="19"/>
        <v>4363.4805297187304</v>
      </c>
      <c r="AD45" s="100">
        <f t="shared" si="19"/>
        <v>3629.9033851403656</v>
      </c>
      <c r="AE45" s="100">
        <f t="shared" si="19"/>
        <v>3195.6891503553179</v>
      </c>
      <c r="AF45" s="100">
        <f t="shared" si="19"/>
        <v>3884.8581909333807</v>
      </c>
      <c r="AG45" s="100">
        <f t="shared" si="19"/>
        <v>3127.0968901891156</v>
      </c>
      <c r="AH45" s="100">
        <f t="shared" si="19"/>
        <v>6822.0296253076658</v>
      </c>
      <c r="AI45" s="100">
        <f t="shared" si="19"/>
        <v>1551.4275112792839</v>
      </c>
      <c r="AJ45" s="101">
        <f t="shared" si="19"/>
        <v>3569.8983979865866</v>
      </c>
      <c r="AK45" s="100">
        <f t="shared" si="19"/>
        <v>3012.1862465813683</v>
      </c>
      <c r="AL45" s="100">
        <f t="shared" si="19"/>
        <v>3421.3821531891281</v>
      </c>
      <c r="AM45" s="100">
        <f t="shared" si="19"/>
        <v>1975.7432579227914</v>
      </c>
      <c r="AN45" s="100">
        <f t="shared" si="19"/>
        <v>396.43767968237461</v>
      </c>
      <c r="AO45" s="100">
        <f t="shared" ref="AO45:AX45" si="20">AN42*AN38%*AO37%</f>
        <v>-199.76704541927097</v>
      </c>
      <c r="AP45" s="100">
        <f t="shared" si="20"/>
        <v>-201.16890320639152</v>
      </c>
      <c r="AQ45" s="100">
        <f t="shared" si="20"/>
        <v>2235.2429852754149</v>
      </c>
      <c r="AR45" s="100">
        <f t="shared" si="20"/>
        <v>2294.1160455822192</v>
      </c>
      <c r="AS45" s="100">
        <f t="shared" si="20"/>
        <v>1075.2779156009769</v>
      </c>
      <c r="AT45" s="100">
        <f t="shared" si="20"/>
        <v>-660.00523275071521</v>
      </c>
      <c r="AU45" s="100">
        <f t="shared" si="20"/>
        <v>5140.3289078572607</v>
      </c>
      <c r="AV45" s="100">
        <f t="shared" si="20"/>
        <v>22724.558695676398</v>
      </c>
      <c r="AW45" s="100">
        <f t="shared" si="20"/>
        <v>16448.721746299296</v>
      </c>
      <c r="AX45" s="100">
        <f t="shared" si="20"/>
        <v>2591.3834293716704</v>
      </c>
      <c r="AY45" s="100"/>
    </row>
    <row r="46" spans="8:52" x14ac:dyDescent="0.25">
      <c r="S46" s="83" t="s">
        <v>85</v>
      </c>
      <c r="T46" s="100" t="s">
        <v>50</v>
      </c>
      <c r="U46" s="100">
        <f>U45</f>
        <v>6033.1780670510479</v>
      </c>
      <c r="V46" s="100">
        <f t="shared" ref="V46:AN46" si="21">V45</f>
        <v>4786.1018128708702</v>
      </c>
      <c r="W46" s="100">
        <f t="shared" si="21"/>
        <v>1646.3392674486072</v>
      </c>
      <c r="X46" s="100">
        <f t="shared" si="21"/>
        <v>2301.0346103931624</v>
      </c>
      <c r="Y46" s="100">
        <f t="shared" si="21"/>
        <v>2162.0619860038314</v>
      </c>
      <c r="Z46" s="100">
        <f t="shared" si="21"/>
        <v>3971.5331002276589</v>
      </c>
      <c r="AA46" s="100">
        <f t="shared" si="21"/>
        <v>4319.1640620822818</v>
      </c>
      <c r="AB46" s="100">
        <f t="shared" si="21"/>
        <v>4023.5245808691307</v>
      </c>
      <c r="AC46" s="100">
        <f t="shared" si="21"/>
        <v>4363.4805297187304</v>
      </c>
      <c r="AD46" s="100">
        <f t="shared" si="21"/>
        <v>3629.9033851403656</v>
      </c>
      <c r="AE46" s="100">
        <f t="shared" si="21"/>
        <v>3195.6891503553179</v>
      </c>
      <c r="AF46" s="100">
        <f t="shared" si="21"/>
        <v>3884.8581909333807</v>
      </c>
      <c r="AG46" s="100">
        <f t="shared" si="21"/>
        <v>3127.0968901891156</v>
      </c>
      <c r="AH46" s="100">
        <f t="shared" si="21"/>
        <v>6822.0296253076658</v>
      </c>
      <c r="AI46" s="100">
        <f t="shared" si="21"/>
        <v>1551.4275112792839</v>
      </c>
      <c r="AJ46" s="101">
        <f t="shared" si="21"/>
        <v>3569.8983979865866</v>
      </c>
      <c r="AK46" s="100">
        <f t="shared" si="21"/>
        <v>3012.1862465813683</v>
      </c>
      <c r="AL46" s="100">
        <f t="shared" si="21"/>
        <v>3421.3821531891281</v>
      </c>
      <c r="AM46" s="100">
        <f t="shared" si="21"/>
        <v>1975.7432579227914</v>
      </c>
      <c r="AN46" s="100">
        <f t="shared" si="21"/>
        <v>396.43767968237461</v>
      </c>
      <c r="AO46" s="100">
        <v>0</v>
      </c>
      <c r="AP46" s="100">
        <v>0</v>
      </c>
      <c r="AQ46" s="100">
        <f>AQ45</f>
        <v>2235.2429852754149</v>
      </c>
      <c r="AR46" s="100">
        <f>AR45</f>
        <v>2294.1160455822192</v>
      </c>
      <c r="AS46" s="100">
        <f>AS45</f>
        <v>1075.2779156009769</v>
      </c>
      <c r="AT46" s="100">
        <v>0</v>
      </c>
      <c r="AU46" s="100">
        <f>AU45</f>
        <v>5140.3289078572607</v>
      </c>
      <c r="AV46" s="100">
        <f>AV45</f>
        <v>22724.558695676398</v>
      </c>
      <c r="AW46" s="100">
        <f>AW45</f>
        <v>16448.721746299296</v>
      </c>
      <c r="AX46" s="100">
        <f>AX45</f>
        <v>2591.3834293716704</v>
      </c>
      <c r="AY46" s="100"/>
    </row>
    <row r="48" spans="8:52" x14ac:dyDescent="0.25">
      <c r="T48" s="47">
        <v>1995</v>
      </c>
      <c r="U48" s="47">
        <v>1996</v>
      </c>
      <c r="V48" s="47">
        <v>1997</v>
      </c>
      <c r="W48" s="47">
        <v>1998</v>
      </c>
      <c r="X48" s="47">
        <v>1999</v>
      </c>
      <c r="Y48" s="47">
        <v>2000</v>
      </c>
      <c r="Z48" s="47">
        <v>2001</v>
      </c>
      <c r="AA48" s="47">
        <v>2002</v>
      </c>
      <c r="AB48" s="47">
        <v>2003</v>
      </c>
      <c r="AC48" s="47">
        <v>2004</v>
      </c>
      <c r="AD48" s="47">
        <v>2005</v>
      </c>
      <c r="AE48" s="47">
        <v>2006</v>
      </c>
      <c r="AF48" s="47">
        <v>2007</v>
      </c>
      <c r="AG48" s="47">
        <v>2008</v>
      </c>
      <c r="AH48" s="47">
        <v>2009</v>
      </c>
      <c r="AI48" s="47">
        <v>2010</v>
      </c>
      <c r="AJ48" s="47">
        <v>2011</v>
      </c>
      <c r="AK48" s="47">
        <v>2012</v>
      </c>
      <c r="AL48" s="47">
        <v>2013</v>
      </c>
      <c r="AM48" s="47">
        <v>2014</v>
      </c>
      <c r="AN48" s="47">
        <v>2015</v>
      </c>
      <c r="AO48" s="47">
        <v>2016</v>
      </c>
      <c r="AP48" s="47">
        <v>2017</v>
      </c>
      <c r="AQ48" s="47">
        <v>2018</v>
      </c>
      <c r="AR48" s="47">
        <v>2019</v>
      </c>
      <c r="AS48" s="47">
        <v>2020</v>
      </c>
      <c r="AT48" s="47">
        <v>2021</v>
      </c>
      <c r="AU48" s="47">
        <v>2022</v>
      </c>
      <c r="AV48" s="47">
        <v>2023</v>
      </c>
      <c r="AW48" s="47">
        <v>2024</v>
      </c>
      <c r="AX48" s="47">
        <v>2025</v>
      </c>
      <c r="AY48" s="47" t="s">
        <v>52</v>
      </c>
    </row>
    <row r="49" spans="19:51" x14ac:dyDescent="0.25">
      <c r="S49" s="47" t="s">
        <v>89</v>
      </c>
      <c r="T49" s="89">
        <f>T40</f>
        <v>123060.97499999999</v>
      </c>
      <c r="U49" s="89">
        <f t="shared" ref="U49:AV50" si="22">U40</f>
        <v>135171.54999999999</v>
      </c>
      <c r="V49" s="89">
        <f t="shared" si="22"/>
        <v>146417.29499999998</v>
      </c>
      <c r="W49" s="89">
        <f t="shared" si="22"/>
        <v>148333.12</v>
      </c>
      <c r="X49" s="89">
        <f t="shared" si="22"/>
        <v>156796.24</v>
      </c>
      <c r="Y49" s="89">
        <f t="shared" si="22"/>
        <v>160908.61499999999</v>
      </c>
      <c r="Z49" s="89">
        <f t="shared" si="22"/>
        <v>168511.83</v>
      </c>
      <c r="AA49" s="89">
        <f t="shared" si="22"/>
        <v>176599.66500000001</v>
      </c>
      <c r="AB49" s="89">
        <f t="shared" si="22"/>
        <v>183860.1</v>
      </c>
      <c r="AC49" s="89">
        <f t="shared" si="22"/>
        <v>191187.51499999998</v>
      </c>
      <c r="AD49" s="89">
        <f t="shared" si="22"/>
        <v>198020.46</v>
      </c>
      <c r="AE49" s="89">
        <f t="shared" si="22"/>
        <v>204616.02</v>
      </c>
      <c r="AF49" s="89">
        <f t="shared" si="22"/>
        <v>212443.815</v>
      </c>
      <c r="AG49" s="89">
        <f t="shared" si="22"/>
        <v>220806.465</v>
      </c>
      <c r="AH49" s="89">
        <f t="shared" si="22"/>
        <v>229552.28</v>
      </c>
      <c r="AI49" s="89">
        <f t="shared" si="22"/>
        <v>235033.80499999999</v>
      </c>
      <c r="AJ49" s="89">
        <f t="shared" si="22"/>
        <v>241315.15</v>
      </c>
      <c r="AK49" s="89">
        <f t="shared" si="22"/>
        <v>246687.34</v>
      </c>
      <c r="AL49" s="89">
        <f t="shared" si="22"/>
        <v>251798.505</v>
      </c>
      <c r="AM49" s="89">
        <f t="shared" si="22"/>
        <v>253482.85500000001</v>
      </c>
      <c r="AN49" s="89">
        <f t="shared" si="22"/>
        <v>255462.70499999999</v>
      </c>
      <c r="AO49" s="89">
        <f t="shared" si="22"/>
        <v>257255.405</v>
      </c>
      <c r="AP49" s="89">
        <f t="shared" si="22"/>
        <v>259857.77499999999</v>
      </c>
      <c r="AQ49" s="89">
        <f t="shared" si="22"/>
        <v>264662.60499999998</v>
      </c>
      <c r="AR49" s="89">
        <f t="shared" si="22"/>
        <v>270924.25</v>
      </c>
      <c r="AS49" s="89">
        <f t="shared" si="22"/>
        <v>277155.36</v>
      </c>
      <c r="AT49" s="89">
        <f t="shared" si="22"/>
        <v>281918.82</v>
      </c>
      <c r="AU49" s="89">
        <f t="shared" si="22"/>
        <v>292346.02999999997</v>
      </c>
      <c r="AV49" s="89">
        <f t="shared" si="22"/>
        <v>317413.32574393472</v>
      </c>
      <c r="AW49" s="89">
        <f>AW40</f>
        <v>337542.4914864641</v>
      </c>
      <c r="AX49" s="89"/>
      <c r="AY49" s="89"/>
    </row>
    <row r="50" spans="19:51" x14ac:dyDescent="0.25">
      <c r="S50" s="47" t="s">
        <v>87</v>
      </c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>
        <f t="shared" si="22"/>
        <v>272660</v>
      </c>
      <c r="AS50" s="141">
        <f t="shared" si="22"/>
        <v>278468</v>
      </c>
      <c r="AT50" s="141">
        <f t="shared" si="22"/>
        <v>283411</v>
      </c>
      <c r="AU50" s="141">
        <f t="shared" si="22"/>
        <v>292103</v>
      </c>
      <c r="AV50" s="141">
        <f t="shared" si="22"/>
        <v>314894</v>
      </c>
      <c r="AW50" s="141"/>
      <c r="AX50" s="141"/>
      <c r="AY50" s="141"/>
    </row>
    <row r="51" spans="19:51" x14ac:dyDescent="0.25">
      <c r="S51" s="47" t="s">
        <v>90</v>
      </c>
      <c r="T51" s="141"/>
      <c r="U51" s="89">
        <f>U46</f>
        <v>6033.1780670510479</v>
      </c>
      <c r="V51" s="89">
        <f>V46</f>
        <v>4786.1018128708702</v>
      </c>
      <c r="W51" s="89">
        <f t="shared" ref="W51:AX51" si="23">W46</f>
        <v>1646.3392674486072</v>
      </c>
      <c r="X51" s="89">
        <f t="shared" si="23"/>
        <v>2301.0346103931624</v>
      </c>
      <c r="Y51" s="89">
        <f t="shared" si="23"/>
        <v>2162.0619860038314</v>
      </c>
      <c r="Z51" s="89">
        <f t="shared" si="23"/>
        <v>3971.5331002276589</v>
      </c>
      <c r="AA51" s="89">
        <f t="shared" si="23"/>
        <v>4319.1640620822818</v>
      </c>
      <c r="AB51" s="89">
        <f t="shared" si="23"/>
        <v>4023.5245808691307</v>
      </c>
      <c r="AC51" s="89">
        <f t="shared" si="23"/>
        <v>4363.4805297187304</v>
      </c>
      <c r="AD51" s="89">
        <f t="shared" si="23"/>
        <v>3629.9033851403656</v>
      </c>
      <c r="AE51" s="89">
        <f t="shared" si="23"/>
        <v>3195.6891503553179</v>
      </c>
      <c r="AF51" s="89">
        <f t="shared" si="23"/>
        <v>3884.8581909333807</v>
      </c>
      <c r="AG51" s="89">
        <f t="shared" si="23"/>
        <v>3127.0968901891156</v>
      </c>
      <c r="AH51" s="89">
        <f t="shared" si="23"/>
        <v>6822.0296253076658</v>
      </c>
      <c r="AI51" s="89">
        <f t="shared" si="23"/>
        <v>1551.4275112792839</v>
      </c>
      <c r="AJ51" s="89">
        <f t="shared" si="23"/>
        <v>3569.8983979865866</v>
      </c>
      <c r="AK51" s="89">
        <f t="shared" si="23"/>
        <v>3012.1862465813683</v>
      </c>
      <c r="AL51" s="89">
        <f t="shared" si="23"/>
        <v>3421.3821531891281</v>
      </c>
      <c r="AM51" s="89">
        <f t="shared" si="23"/>
        <v>1975.7432579227914</v>
      </c>
      <c r="AN51" s="89">
        <f t="shared" si="23"/>
        <v>396.43767968237461</v>
      </c>
      <c r="AO51" s="89">
        <v>0</v>
      </c>
      <c r="AP51" s="89">
        <v>0</v>
      </c>
      <c r="AQ51" s="89">
        <f t="shared" si="23"/>
        <v>2235.2429852754149</v>
      </c>
      <c r="AR51" s="89">
        <f t="shared" si="23"/>
        <v>2294.1160455822192</v>
      </c>
      <c r="AS51" s="89">
        <f t="shared" si="23"/>
        <v>1075.2779156009769</v>
      </c>
      <c r="AT51" s="89">
        <v>0</v>
      </c>
      <c r="AU51" s="89">
        <f t="shared" si="23"/>
        <v>5140.3289078572607</v>
      </c>
      <c r="AV51" s="89">
        <f>AV46</f>
        <v>22724.558695676398</v>
      </c>
      <c r="AW51" s="89">
        <f t="shared" si="23"/>
        <v>16448.721746299296</v>
      </c>
      <c r="AX51" s="89">
        <f t="shared" si="23"/>
        <v>2591.3834293716704</v>
      </c>
      <c r="AY51" s="89"/>
    </row>
    <row r="53" spans="19:51" x14ac:dyDescent="0.25">
      <c r="AV53" s="137">
        <v>18987.023488104569</v>
      </c>
      <c r="AW53" s="137">
        <v>13450.849773450571</v>
      </c>
      <c r="AX53" s="137">
        <v>2547.4197026730535</v>
      </c>
    </row>
    <row r="54" spans="19:51" x14ac:dyDescent="0.25">
      <c r="AV54" s="137">
        <f>AV51-AV53</f>
        <v>3737.5352075718292</v>
      </c>
      <c r="AW54" s="137">
        <f t="shared" ref="AW54:AX54" si="24">AW51-AW53</f>
        <v>2997.8719728487249</v>
      </c>
      <c r="AX54" s="137">
        <f t="shared" si="24"/>
        <v>43.963726698616938</v>
      </c>
    </row>
    <row r="55" spans="19:51" x14ac:dyDescent="0.25">
      <c r="AV55" s="137"/>
      <c r="AW55" s="137"/>
      <c r="AX55" s="137"/>
    </row>
    <row r="56" spans="19:51" x14ac:dyDescent="0.25">
      <c r="AV56" s="137">
        <f>SUM(AV51:AX51)-SUM(AV53:AX53)</f>
        <v>6779.3709071191697</v>
      </c>
      <c r="AW56" s="137"/>
      <c r="AX56" s="137"/>
    </row>
    <row r="57" spans="19:51" x14ac:dyDescent="0.25">
      <c r="AV57" s="137"/>
      <c r="AW57" s="137"/>
      <c r="AX57" s="137"/>
    </row>
    <row r="58" spans="19:51" x14ac:dyDescent="0.25">
      <c r="AV58" s="137">
        <f>AW40-AV56</f>
        <v>330763.12057934492</v>
      </c>
      <c r="AW58" s="137"/>
      <c r="AX58" s="137"/>
    </row>
  </sheetData>
  <mergeCells count="15">
    <mergeCell ref="H44:M44"/>
    <mergeCell ref="R8:S10"/>
    <mergeCell ref="T8:W8"/>
    <mergeCell ref="X8:AX8"/>
    <mergeCell ref="D9:G9"/>
    <mergeCell ref="T9:AJ9"/>
    <mergeCell ref="AK9:AT9"/>
    <mergeCell ref="AV9:AW9"/>
    <mergeCell ref="I10:J10"/>
    <mergeCell ref="K10:L10"/>
    <mergeCell ref="R11:R21"/>
    <mergeCell ref="T24:AJ24"/>
    <mergeCell ref="AK24:AT24"/>
    <mergeCell ref="AV24:AW24"/>
    <mergeCell ref="H25:M25"/>
  </mergeCells>
  <hyperlinks>
    <hyperlink ref="P38" r:id="rId1" xr:uid="{526C0D95-78FD-4BA9-B1E0-0CC2AE4E8EFC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1260-26C1-42CA-96DD-03B12E7A0909}">
  <sheetPr>
    <tabColor rgb="FF0070C0"/>
  </sheetPr>
  <dimension ref="C5:BA58"/>
  <sheetViews>
    <sheetView topLeftCell="X21" zoomScaleNormal="100" workbookViewId="0">
      <selection activeCell="AL45" sqref="AL45"/>
    </sheetView>
  </sheetViews>
  <sheetFormatPr defaultRowHeight="15" x14ac:dyDescent="0.25"/>
  <cols>
    <col min="1" max="3" width="9.140625" style="2"/>
    <col min="4" max="4" width="18.85546875" style="2" customWidth="1"/>
    <col min="5" max="7" width="16.42578125" style="2" customWidth="1"/>
    <col min="8" max="17" width="9.140625" style="2"/>
    <col min="18" max="18" width="3.28515625" style="2" customWidth="1"/>
    <col min="19" max="19" width="5.7109375" style="2" customWidth="1"/>
    <col min="20" max="51" width="8.5703125" style="2" customWidth="1"/>
    <col min="52" max="16384" width="9.140625" style="2"/>
  </cols>
  <sheetData>
    <row r="5" spans="3:53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3:53" x14ac:dyDescent="0.25"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3:53" ht="7.5" customHeight="1" thickBot="1" x14ac:dyDescent="0.3"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5" t="s">
        <v>6</v>
      </c>
      <c r="AZ7" s="1"/>
      <c r="BA7" s="1"/>
    </row>
    <row r="8" spans="3:53" ht="7.5" customHeight="1" thickTop="1" thickBot="1" x14ac:dyDescent="0.3">
      <c r="Q8" s="1"/>
      <c r="R8" s="173"/>
      <c r="S8" s="174"/>
      <c r="T8" s="187"/>
      <c r="U8" s="187"/>
      <c r="V8" s="187"/>
      <c r="W8" s="188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8"/>
      <c r="AZ8" s="1"/>
      <c r="BA8" s="1"/>
    </row>
    <row r="9" spans="3:53" ht="7.5" customHeight="1" thickTop="1" thickBot="1" x14ac:dyDescent="0.3">
      <c r="D9" s="179" t="s">
        <v>45</v>
      </c>
      <c r="E9" s="180"/>
      <c r="F9" s="180"/>
      <c r="G9" s="181"/>
      <c r="Q9" s="1"/>
      <c r="R9" s="175"/>
      <c r="S9" s="176"/>
      <c r="T9" s="192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9"/>
      <c r="AV9" s="195"/>
      <c r="AW9" s="196"/>
      <c r="AX9" s="9"/>
      <c r="AY9" s="9"/>
      <c r="AZ9" s="1"/>
      <c r="BA9" s="1"/>
    </row>
    <row r="10" spans="3:53" ht="42" thickTop="1" thickBot="1" x14ac:dyDescent="0.3">
      <c r="D10" s="48" t="s">
        <v>29</v>
      </c>
      <c r="E10" s="48" t="s">
        <v>30</v>
      </c>
      <c r="F10" s="48" t="s">
        <v>31</v>
      </c>
      <c r="G10" s="48" t="s">
        <v>32</v>
      </c>
      <c r="I10" s="182" t="s">
        <v>47</v>
      </c>
      <c r="J10" s="182"/>
      <c r="K10" s="182" t="s">
        <v>48</v>
      </c>
      <c r="L10" s="182"/>
      <c r="Q10" s="1"/>
      <c r="R10" s="177"/>
      <c r="S10" s="178"/>
      <c r="T10" s="62">
        <v>1995</v>
      </c>
      <c r="U10" s="50">
        <v>1996</v>
      </c>
      <c r="V10" s="50">
        <v>1997</v>
      </c>
      <c r="W10" s="60">
        <v>1998</v>
      </c>
      <c r="X10" s="60">
        <v>1999</v>
      </c>
      <c r="Y10" s="60">
        <v>2000</v>
      </c>
      <c r="Z10" s="56">
        <v>2001</v>
      </c>
      <c r="AA10" s="56">
        <v>2002</v>
      </c>
      <c r="AB10" s="56">
        <v>2003</v>
      </c>
      <c r="AC10" s="56">
        <v>2004</v>
      </c>
      <c r="AD10" s="56">
        <v>2005</v>
      </c>
      <c r="AE10" s="56">
        <v>2006</v>
      </c>
      <c r="AF10" s="56">
        <v>2007</v>
      </c>
      <c r="AG10" s="67">
        <v>2008</v>
      </c>
      <c r="AH10" s="67">
        <v>2009</v>
      </c>
      <c r="AI10" s="67">
        <v>2010</v>
      </c>
      <c r="AJ10" s="56">
        <v>2011</v>
      </c>
      <c r="AK10" s="65">
        <v>2012</v>
      </c>
      <c r="AL10" s="65">
        <v>2013</v>
      </c>
      <c r="AM10" s="70">
        <v>2014</v>
      </c>
      <c r="AN10" s="69">
        <v>2015</v>
      </c>
      <c r="AO10" s="69">
        <v>2016</v>
      </c>
      <c r="AP10" s="69">
        <v>2017</v>
      </c>
      <c r="AQ10" s="69">
        <v>2018</v>
      </c>
      <c r="AR10" s="66">
        <v>2019</v>
      </c>
      <c r="AS10" s="63">
        <v>2020</v>
      </c>
      <c r="AT10" s="63">
        <v>2021</v>
      </c>
      <c r="AU10" s="57">
        <v>2022</v>
      </c>
      <c r="AV10" s="59">
        <v>2023</v>
      </c>
      <c r="AW10" s="59">
        <v>2024</v>
      </c>
      <c r="AX10" s="57">
        <v>2025</v>
      </c>
      <c r="AY10" s="54">
        <v>2026</v>
      </c>
      <c r="AZ10" s="1"/>
      <c r="BA10" s="1"/>
    </row>
    <row r="11" spans="3:53" ht="15.75" thickTop="1" x14ac:dyDescent="0.25">
      <c r="C11" s="49">
        <v>1</v>
      </c>
      <c r="D11" s="44" t="s">
        <v>33</v>
      </c>
      <c r="E11" s="46">
        <v>1239616</v>
      </c>
      <c r="F11" s="46">
        <v>272.69</v>
      </c>
      <c r="G11" s="46">
        <v>4394459093.54</v>
      </c>
      <c r="H11" s="58">
        <v>1</v>
      </c>
      <c r="I11" s="53">
        <f>E11/$E$22</f>
        <v>8.6883580308661224E-2</v>
      </c>
      <c r="J11" s="53">
        <f>SUM($I$11:I11)</f>
        <v>8.6883580308661224E-2</v>
      </c>
      <c r="K11" s="53">
        <f>G11/$G$22</f>
        <v>1.5011824145800174E-2</v>
      </c>
      <c r="L11" s="53">
        <f>SUM($K$11:K11)</f>
        <v>1.5011824145800174E-2</v>
      </c>
      <c r="Q11" s="1"/>
      <c r="R11" s="185" t="s">
        <v>1</v>
      </c>
      <c r="S11" s="3">
        <v>1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6">
        <v>100</v>
      </c>
      <c r="AF11" s="6">
        <v>100</v>
      </c>
      <c r="AG11" s="6">
        <v>100</v>
      </c>
      <c r="AH11" s="6">
        <v>100</v>
      </c>
      <c r="AI11" s="6">
        <v>100</v>
      </c>
      <c r="AJ11" s="6">
        <v>100</v>
      </c>
      <c r="AK11" s="6">
        <v>100</v>
      </c>
      <c r="AL11" s="6">
        <v>100</v>
      </c>
      <c r="AM11" s="6">
        <v>100</v>
      </c>
      <c r="AN11" s="6">
        <v>100</v>
      </c>
      <c r="AO11" s="6">
        <v>100</v>
      </c>
      <c r="AP11" s="6">
        <v>100</v>
      </c>
      <c r="AQ11" s="6">
        <v>100</v>
      </c>
      <c r="AR11" s="6">
        <v>100</v>
      </c>
      <c r="AS11" s="6">
        <v>100</v>
      </c>
      <c r="AT11" s="6">
        <v>100</v>
      </c>
      <c r="AU11" s="6">
        <v>100</v>
      </c>
      <c r="AV11" s="6">
        <v>100</v>
      </c>
      <c r="AW11" s="6">
        <v>100</v>
      </c>
      <c r="AX11" s="6">
        <v>100</v>
      </c>
      <c r="AY11" s="38">
        <v>100</v>
      </c>
      <c r="AZ11" s="1"/>
      <c r="BA11" s="1"/>
    </row>
    <row r="12" spans="3:53" x14ac:dyDescent="0.25">
      <c r="C12" s="49">
        <v>2</v>
      </c>
      <c r="D12" s="44" t="s">
        <v>34</v>
      </c>
      <c r="E12" s="46">
        <v>3870395</v>
      </c>
      <c r="F12" s="46">
        <v>756.59</v>
      </c>
      <c r="G12" s="46">
        <v>38068101562.07</v>
      </c>
      <c r="H12" s="58">
        <v>2</v>
      </c>
      <c r="I12" s="53">
        <f t="shared" ref="I12:I22" si="0">E12/$E$22</f>
        <v>0.27127253505016136</v>
      </c>
      <c r="J12" s="53">
        <f>SUM($I$11:I12)</f>
        <v>0.35815611535882258</v>
      </c>
      <c r="K12" s="53">
        <f t="shared" ref="K12:K22" si="1">G12/$G$22</f>
        <v>0.13004368320422824</v>
      </c>
      <c r="L12" s="53">
        <f>SUM($K$11:K12)</f>
        <v>0.14505550735002842</v>
      </c>
      <c r="Q12" s="1"/>
      <c r="R12" s="185"/>
      <c r="S12" s="3">
        <v>2</v>
      </c>
      <c r="T12" s="4">
        <v>100</v>
      </c>
      <c r="U12" s="4">
        <v>100</v>
      </c>
      <c r="V12" s="4">
        <v>100</v>
      </c>
      <c r="W12" s="4">
        <v>100</v>
      </c>
      <c r="X12" s="4">
        <v>100</v>
      </c>
      <c r="Y12" s="4">
        <v>100</v>
      </c>
      <c r="Z12" s="4">
        <v>100</v>
      </c>
      <c r="AA12" s="4">
        <v>100</v>
      </c>
      <c r="AB12" s="4">
        <v>100</v>
      </c>
      <c r="AC12" s="4">
        <v>100</v>
      </c>
      <c r="AD12" s="4">
        <v>100</v>
      </c>
      <c r="AE12" s="4">
        <v>100</v>
      </c>
      <c r="AF12" s="4">
        <v>100</v>
      </c>
      <c r="AG12" s="4">
        <v>100</v>
      </c>
      <c r="AH12" s="4">
        <v>100</v>
      </c>
      <c r="AI12" s="4">
        <v>100</v>
      </c>
      <c r="AJ12" s="4">
        <v>100</v>
      </c>
      <c r="AK12" s="4">
        <v>100</v>
      </c>
      <c r="AL12" s="4">
        <v>100</v>
      </c>
      <c r="AM12" s="4">
        <v>100</v>
      </c>
      <c r="AN12" s="4">
        <v>100</v>
      </c>
      <c r="AO12" s="4">
        <v>100</v>
      </c>
      <c r="AP12" s="4">
        <v>100</v>
      </c>
      <c r="AQ12" s="4">
        <v>100</v>
      </c>
      <c r="AR12" s="4">
        <v>100</v>
      </c>
      <c r="AS12" s="4">
        <v>100</v>
      </c>
      <c r="AT12" s="4">
        <v>100</v>
      </c>
      <c r="AU12" s="4">
        <v>100</v>
      </c>
      <c r="AV12" s="4">
        <v>100</v>
      </c>
      <c r="AW12" s="4">
        <v>100</v>
      </c>
      <c r="AX12" s="4">
        <v>100</v>
      </c>
      <c r="AY12" s="39">
        <v>100</v>
      </c>
      <c r="AZ12" s="1"/>
      <c r="BA12" s="1"/>
    </row>
    <row r="13" spans="3:53" x14ac:dyDescent="0.25">
      <c r="C13" s="49">
        <v>3</v>
      </c>
      <c r="D13" s="44" t="s">
        <v>35</v>
      </c>
      <c r="E13" s="46">
        <v>3488899</v>
      </c>
      <c r="F13" s="46">
        <v>1316.18</v>
      </c>
      <c r="G13" s="46">
        <v>59696377524.93</v>
      </c>
      <c r="H13" s="58">
        <v>3</v>
      </c>
      <c r="I13" s="53">
        <f t="shared" si="0"/>
        <v>0.24453382051805383</v>
      </c>
      <c r="J13" s="53">
        <f>SUM($I$11:I13)</f>
        <v>0.60268993587687647</v>
      </c>
      <c r="K13" s="53">
        <f t="shared" si="1"/>
        <v>0.20392760575765045</v>
      </c>
      <c r="L13" s="53">
        <f>SUM($K$11:K13)</f>
        <v>0.34898311310767888</v>
      </c>
      <c r="Q13" s="1"/>
      <c r="R13" s="185"/>
      <c r="S13" s="3">
        <v>3</v>
      </c>
      <c r="T13" s="4">
        <v>90</v>
      </c>
      <c r="U13" s="4">
        <v>90</v>
      </c>
      <c r="V13" s="4">
        <v>90</v>
      </c>
      <c r="W13" s="4">
        <v>90</v>
      </c>
      <c r="X13" s="4">
        <v>90</v>
      </c>
      <c r="Y13" s="4">
        <v>90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N13" s="4">
        <v>100</v>
      </c>
      <c r="AO13" s="4">
        <v>100</v>
      </c>
      <c r="AP13" s="4">
        <v>100</v>
      </c>
      <c r="AQ13" s="4">
        <v>100</v>
      </c>
      <c r="AR13" s="4">
        <v>100</v>
      </c>
      <c r="AS13" s="4">
        <v>100</v>
      </c>
      <c r="AT13" s="4">
        <v>100</v>
      </c>
      <c r="AU13" s="4">
        <v>100</v>
      </c>
      <c r="AV13" s="4">
        <v>100</v>
      </c>
      <c r="AW13" s="4">
        <v>100</v>
      </c>
      <c r="AX13" s="4">
        <v>100</v>
      </c>
      <c r="AY13" s="39">
        <v>100</v>
      </c>
      <c r="AZ13" s="1"/>
      <c r="BA13" s="1"/>
    </row>
    <row r="14" spans="3:53" x14ac:dyDescent="0.25">
      <c r="C14" s="49">
        <v>4</v>
      </c>
      <c r="D14" s="44" t="s">
        <v>36</v>
      </c>
      <c r="E14" s="46">
        <v>2407576</v>
      </c>
      <c r="F14" s="46">
        <v>1824.13</v>
      </c>
      <c r="G14" s="46">
        <v>57092560198.25</v>
      </c>
      <c r="H14" s="58">
        <v>4</v>
      </c>
      <c r="I14" s="53">
        <f t="shared" si="0"/>
        <v>0.1687448554594369</v>
      </c>
      <c r="J14" s="53">
        <f>SUM($I$11:I14)</f>
        <v>0.77143479133631332</v>
      </c>
      <c r="K14" s="53">
        <f t="shared" si="1"/>
        <v>0.19503275727143551</v>
      </c>
      <c r="L14" s="53">
        <f>SUM($K$11:K14)</f>
        <v>0.54401587037911436</v>
      </c>
      <c r="Q14" s="1"/>
      <c r="R14" s="185"/>
      <c r="S14" s="3">
        <v>4</v>
      </c>
      <c r="T14" s="4">
        <v>75</v>
      </c>
      <c r="U14" s="4">
        <v>75</v>
      </c>
      <c r="V14" s="4">
        <v>75</v>
      </c>
      <c r="W14" s="4">
        <v>75</v>
      </c>
      <c r="X14" s="4">
        <v>75</v>
      </c>
      <c r="Y14" s="4">
        <v>75</v>
      </c>
      <c r="Z14" s="4">
        <v>90</v>
      </c>
      <c r="AA14" s="4">
        <v>90</v>
      </c>
      <c r="AB14" s="4">
        <v>90</v>
      </c>
      <c r="AC14" s="4">
        <v>90</v>
      </c>
      <c r="AD14" s="4">
        <v>90</v>
      </c>
      <c r="AE14" s="4">
        <v>90</v>
      </c>
      <c r="AF14" s="4">
        <v>90</v>
      </c>
      <c r="AG14" s="4">
        <v>100</v>
      </c>
      <c r="AH14" s="4">
        <v>100</v>
      </c>
      <c r="AI14" s="4">
        <v>100</v>
      </c>
      <c r="AJ14" s="4">
        <v>90</v>
      </c>
      <c r="AK14" s="4">
        <v>40</v>
      </c>
      <c r="AL14" s="4">
        <v>40</v>
      </c>
      <c r="AM14" s="4">
        <v>95</v>
      </c>
      <c r="AN14" s="4">
        <v>95</v>
      </c>
      <c r="AO14" s="4">
        <v>95</v>
      </c>
      <c r="AP14" s="4">
        <v>95</v>
      </c>
      <c r="AQ14" s="4">
        <v>95</v>
      </c>
      <c r="AR14" s="4">
        <v>97</v>
      </c>
      <c r="AS14" s="4">
        <v>100</v>
      </c>
      <c r="AT14" s="4">
        <v>100</v>
      </c>
      <c r="AU14" s="4">
        <v>100</v>
      </c>
      <c r="AV14" s="4">
        <v>100</v>
      </c>
      <c r="AW14" s="4">
        <v>100</v>
      </c>
      <c r="AX14" s="4">
        <v>100</v>
      </c>
      <c r="AY14" s="39">
        <v>100</v>
      </c>
      <c r="AZ14" s="1"/>
      <c r="BA14" s="1"/>
    </row>
    <row r="15" spans="3:53" x14ac:dyDescent="0.25">
      <c r="C15" s="49">
        <v>5</v>
      </c>
      <c r="D15" s="44" t="s">
        <v>37</v>
      </c>
      <c r="E15" s="46">
        <v>1529558</v>
      </c>
      <c r="F15" s="46">
        <v>2343.69</v>
      </c>
      <c r="G15" s="46">
        <v>46602616234</v>
      </c>
      <c r="H15" s="58">
        <v>5</v>
      </c>
      <c r="I15" s="53">
        <f t="shared" si="0"/>
        <v>0.10720535660216973</v>
      </c>
      <c r="J15" s="53">
        <f>SUM($I$11:I15)</f>
        <v>0.87864014793848311</v>
      </c>
      <c r="K15" s="53">
        <f t="shared" si="1"/>
        <v>0.15919826871694887</v>
      </c>
      <c r="L15" s="53">
        <f>SUM($K$11:K15)</f>
        <v>0.70321413909606323</v>
      </c>
      <c r="Q15" s="1"/>
      <c r="R15" s="185"/>
      <c r="S15" s="3">
        <v>5</v>
      </c>
      <c r="T15" s="4">
        <v>75</v>
      </c>
      <c r="U15" s="4">
        <v>75</v>
      </c>
      <c r="V15" s="4">
        <v>75</v>
      </c>
      <c r="W15" s="4">
        <v>75</v>
      </c>
      <c r="X15" s="4">
        <v>75</v>
      </c>
      <c r="Y15" s="4">
        <v>75</v>
      </c>
      <c r="Z15" s="4">
        <v>90</v>
      </c>
      <c r="AA15" s="4">
        <v>90</v>
      </c>
      <c r="AB15" s="4">
        <v>90</v>
      </c>
      <c r="AC15" s="4">
        <v>90</v>
      </c>
      <c r="AD15" s="4">
        <v>90</v>
      </c>
      <c r="AE15" s="4">
        <v>90</v>
      </c>
      <c r="AF15" s="4">
        <v>90</v>
      </c>
      <c r="AG15" s="4">
        <v>100</v>
      </c>
      <c r="AH15" s="4">
        <v>100</v>
      </c>
      <c r="AI15" s="4">
        <v>100</v>
      </c>
      <c r="AJ15" s="4">
        <v>90</v>
      </c>
      <c r="AK15" s="4">
        <v>20</v>
      </c>
      <c r="AL15" s="4">
        <v>20</v>
      </c>
      <c r="AM15" s="4">
        <v>75</v>
      </c>
      <c r="AN15" s="4">
        <v>75</v>
      </c>
      <c r="AO15" s="4">
        <v>75</v>
      </c>
      <c r="AP15" s="4">
        <v>75</v>
      </c>
      <c r="AQ15" s="4">
        <v>75</v>
      </c>
      <c r="AR15" s="4">
        <v>77</v>
      </c>
      <c r="AS15" s="4">
        <v>77</v>
      </c>
      <c r="AT15" s="4">
        <v>77</v>
      </c>
      <c r="AU15" s="4">
        <v>90</v>
      </c>
      <c r="AV15" s="4">
        <v>85</v>
      </c>
      <c r="AW15" s="4">
        <v>85</v>
      </c>
      <c r="AX15" s="4">
        <v>90</v>
      </c>
      <c r="AY15" s="39">
        <v>90</v>
      </c>
      <c r="AZ15" s="1"/>
      <c r="BA15" s="1"/>
    </row>
    <row r="16" spans="3:53" x14ac:dyDescent="0.25">
      <c r="C16" s="49">
        <v>6</v>
      </c>
      <c r="D16" s="44" t="s">
        <v>38</v>
      </c>
      <c r="E16" s="46">
        <v>734699</v>
      </c>
      <c r="F16" s="46">
        <v>2858.45</v>
      </c>
      <c r="G16" s="46">
        <v>27301324401.029999</v>
      </c>
      <c r="H16" s="58">
        <v>6</v>
      </c>
      <c r="I16" s="53">
        <f t="shared" si="0"/>
        <v>5.1494397917736696E-2</v>
      </c>
      <c r="J16" s="53">
        <f>SUM($I$11:I16)</f>
        <v>0.9301345458562198</v>
      </c>
      <c r="K16" s="53">
        <f t="shared" si="1"/>
        <v>9.326351028234349E-2</v>
      </c>
      <c r="L16" s="53">
        <f>SUM($K$11:K16)</f>
        <v>0.7964776493784067</v>
      </c>
      <c r="Q16" s="1"/>
      <c r="R16" s="185"/>
      <c r="S16" s="3">
        <v>6</v>
      </c>
      <c r="T16" s="4">
        <v>75</v>
      </c>
      <c r="U16" s="4">
        <v>75</v>
      </c>
      <c r="V16" s="4">
        <v>75</v>
      </c>
      <c r="W16" s="4">
        <v>0</v>
      </c>
      <c r="X16" s="4">
        <v>30</v>
      </c>
      <c r="Y16" s="4">
        <v>30</v>
      </c>
      <c r="Z16" s="4">
        <v>75</v>
      </c>
      <c r="AA16" s="4">
        <v>75</v>
      </c>
      <c r="AB16" s="4">
        <v>75</v>
      </c>
      <c r="AC16" s="4">
        <v>75</v>
      </c>
      <c r="AD16" s="4">
        <v>75</v>
      </c>
      <c r="AE16" s="4">
        <v>75</v>
      </c>
      <c r="AF16" s="4">
        <v>75</v>
      </c>
      <c r="AG16" s="4">
        <v>75</v>
      </c>
      <c r="AH16" s="4">
        <v>75</v>
      </c>
      <c r="AI16" s="4">
        <v>75</v>
      </c>
      <c r="AJ16" s="4">
        <v>75</v>
      </c>
      <c r="AK16" s="4">
        <v>10</v>
      </c>
      <c r="AL16" s="4">
        <v>10</v>
      </c>
      <c r="AM16" s="4">
        <v>50</v>
      </c>
      <c r="AN16" s="4">
        <v>50</v>
      </c>
      <c r="AO16" s="4">
        <v>50</v>
      </c>
      <c r="AP16" s="4">
        <v>50</v>
      </c>
      <c r="AQ16" s="4">
        <v>50</v>
      </c>
      <c r="AR16" s="4">
        <v>52</v>
      </c>
      <c r="AS16" s="4">
        <v>52</v>
      </c>
      <c r="AT16" s="4">
        <v>52</v>
      </c>
      <c r="AU16" s="4">
        <v>75</v>
      </c>
      <c r="AV16" s="4">
        <v>53</v>
      </c>
      <c r="AW16" s="4">
        <v>53</v>
      </c>
      <c r="AX16" s="4">
        <v>75</v>
      </c>
      <c r="AY16" s="39">
        <v>75</v>
      </c>
      <c r="AZ16" s="1"/>
      <c r="BA16" s="1"/>
    </row>
    <row r="17" spans="3:53" x14ac:dyDescent="0.25">
      <c r="C17" s="49">
        <v>7</v>
      </c>
      <c r="D17" s="44" t="s">
        <v>39</v>
      </c>
      <c r="E17" s="46">
        <v>366953</v>
      </c>
      <c r="F17" s="46">
        <v>3383.51</v>
      </c>
      <c r="G17" s="46">
        <v>16140675372.41</v>
      </c>
      <c r="H17" s="58">
        <v>7</v>
      </c>
      <c r="I17" s="53">
        <f t="shared" si="0"/>
        <v>2.5719408627352471E-2</v>
      </c>
      <c r="J17" s="53">
        <f>SUM($I$11:I17)</f>
        <v>0.95585395448357224</v>
      </c>
      <c r="K17" s="53">
        <f t="shared" si="1"/>
        <v>5.5137839521878153E-2</v>
      </c>
      <c r="L17" s="53">
        <f>SUM($K$11:K17)</f>
        <v>0.85161548890028482</v>
      </c>
      <c r="Q17" s="1"/>
      <c r="R17" s="185"/>
      <c r="S17" s="3">
        <v>7</v>
      </c>
      <c r="T17" s="4">
        <v>75</v>
      </c>
      <c r="U17" s="4">
        <v>75</v>
      </c>
      <c r="V17" s="4">
        <v>75</v>
      </c>
      <c r="W17" s="4">
        <v>0</v>
      </c>
      <c r="X17" s="4">
        <v>30</v>
      </c>
      <c r="Y17" s="4">
        <v>30</v>
      </c>
      <c r="Z17" s="4">
        <v>75</v>
      </c>
      <c r="AA17" s="4">
        <v>75</v>
      </c>
      <c r="AB17" s="4">
        <v>75</v>
      </c>
      <c r="AC17" s="4">
        <v>75</v>
      </c>
      <c r="AD17" s="4">
        <v>75</v>
      </c>
      <c r="AE17" s="4">
        <v>75</v>
      </c>
      <c r="AF17" s="4">
        <v>75</v>
      </c>
      <c r="AG17" s="4">
        <v>75</v>
      </c>
      <c r="AH17" s="4">
        <v>75</v>
      </c>
      <c r="AI17" s="4">
        <v>75</v>
      </c>
      <c r="AJ17" s="4">
        <v>75</v>
      </c>
      <c r="AK17" s="4">
        <v>0</v>
      </c>
      <c r="AL17" s="4">
        <v>0</v>
      </c>
      <c r="AM17" s="4">
        <v>40</v>
      </c>
      <c r="AN17" s="4">
        <v>45</v>
      </c>
      <c r="AO17" s="4">
        <v>45</v>
      </c>
      <c r="AP17" s="4">
        <v>45</v>
      </c>
      <c r="AQ17" s="4">
        <v>45</v>
      </c>
      <c r="AR17" s="4">
        <v>47</v>
      </c>
      <c r="AS17" s="4">
        <v>47</v>
      </c>
      <c r="AT17" s="4">
        <v>47</v>
      </c>
      <c r="AU17" s="4">
        <v>75</v>
      </c>
      <c r="AV17" s="4">
        <v>47</v>
      </c>
      <c r="AW17" s="4">
        <v>47</v>
      </c>
      <c r="AX17" s="4">
        <v>75</v>
      </c>
      <c r="AY17" s="39">
        <v>75</v>
      </c>
      <c r="AZ17" s="1"/>
      <c r="BA17" s="1"/>
    </row>
    <row r="18" spans="3:53" x14ac:dyDescent="0.25">
      <c r="C18" s="49">
        <v>8</v>
      </c>
      <c r="D18" s="44" t="s">
        <v>40</v>
      </c>
      <c r="E18" s="46">
        <v>191471</v>
      </c>
      <c r="F18" s="46">
        <v>3913.9</v>
      </c>
      <c r="G18" s="46">
        <v>9742179313.7099991</v>
      </c>
      <c r="H18" s="58">
        <v>8</v>
      </c>
      <c r="I18" s="53">
        <f t="shared" si="0"/>
        <v>1.3420031691491294E-2</v>
      </c>
      <c r="J18" s="53">
        <f>SUM($I$11:I18)</f>
        <v>0.96927398617506355</v>
      </c>
      <c r="K18" s="53">
        <f t="shared" si="1"/>
        <v>3.3280064631675821E-2</v>
      </c>
      <c r="L18" s="53">
        <f>SUM($K$11:K18)</f>
        <v>0.8848955535319607</v>
      </c>
      <c r="Q18" s="1"/>
      <c r="R18" s="185"/>
      <c r="S18" s="3">
        <v>8</v>
      </c>
      <c r="T18" s="4">
        <v>75</v>
      </c>
      <c r="U18" s="4">
        <v>75</v>
      </c>
      <c r="V18" s="4">
        <v>75</v>
      </c>
      <c r="W18" s="4">
        <v>0</v>
      </c>
      <c r="X18" s="4">
        <v>30</v>
      </c>
      <c r="Y18" s="4">
        <v>30</v>
      </c>
      <c r="Z18" s="4">
        <v>75</v>
      </c>
      <c r="AA18" s="4">
        <v>75</v>
      </c>
      <c r="AB18" s="4">
        <v>75</v>
      </c>
      <c r="AC18" s="4">
        <v>75</v>
      </c>
      <c r="AD18" s="4">
        <v>75</v>
      </c>
      <c r="AE18" s="4">
        <v>75</v>
      </c>
      <c r="AF18" s="4">
        <v>75</v>
      </c>
      <c r="AG18" s="4">
        <v>75</v>
      </c>
      <c r="AH18" s="4">
        <v>75</v>
      </c>
      <c r="AI18" s="4">
        <v>75</v>
      </c>
      <c r="AJ18" s="4">
        <v>75</v>
      </c>
      <c r="AK18" s="4">
        <v>0</v>
      </c>
      <c r="AL18" s="4">
        <v>0</v>
      </c>
      <c r="AM18" s="4">
        <v>0</v>
      </c>
      <c r="AN18" s="4">
        <v>45</v>
      </c>
      <c r="AO18" s="4">
        <v>45</v>
      </c>
      <c r="AP18" s="4">
        <v>45</v>
      </c>
      <c r="AQ18" s="4">
        <v>45</v>
      </c>
      <c r="AR18" s="4">
        <v>47</v>
      </c>
      <c r="AS18" s="4">
        <v>47</v>
      </c>
      <c r="AT18" s="4">
        <v>47</v>
      </c>
      <c r="AU18" s="4">
        <v>75</v>
      </c>
      <c r="AV18" s="4">
        <v>47</v>
      </c>
      <c r="AW18" s="4">
        <v>47</v>
      </c>
      <c r="AX18" s="4">
        <v>75</v>
      </c>
      <c r="AY18" s="39">
        <v>75</v>
      </c>
      <c r="AZ18" s="1"/>
      <c r="BA18" s="1"/>
    </row>
    <row r="19" spans="3:53" x14ac:dyDescent="0.25">
      <c r="C19" s="49">
        <v>9</v>
      </c>
      <c r="D19" s="44" t="s">
        <v>41</v>
      </c>
      <c r="E19" s="46">
        <v>115269</v>
      </c>
      <c r="F19" s="46">
        <v>4450.38</v>
      </c>
      <c r="G19" s="46">
        <v>6668874671.3100004</v>
      </c>
      <c r="H19" s="58">
        <v>9</v>
      </c>
      <c r="I19" s="53">
        <f t="shared" si="0"/>
        <v>8.0791014464149137E-3</v>
      </c>
      <c r="J19" s="53">
        <f>SUM($I$11:I19)</f>
        <v>0.97735308762147843</v>
      </c>
      <c r="K19" s="53">
        <f t="shared" si="1"/>
        <v>2.278140988119666E-2</v>
      </c>
      <c r="L19" s="53">
        <f>SUM($K$11:K19)</f>
        <v>0.9076769634131574</v>
      </c>
      <c r="Q19" s="1"/>
      <c r="R19" s="185"/>
      <c r="S19" s="3">
        <v>9</v>
      </c>
      <c r="T19" s="4">
        <v>75</v>
      </c>
      <c r="U19" s="4">
        <v>75</v>
      </c>
      <c r="V19" s="4">
        <v>75</v>
      </c>
      <c r="W19" s="4">
        <v>0</v>
      </c>
      <c r="X19" s="4">
        <v>0</v>
      </c>
      <c r="Y19" s="4">
        <v>0</v>
      </c>
      <c r="Z19" s="4">
        <v>75</v>
      </c>
      <c r="AA19" s="4">
        <v>75</v>
      </c>
      <c r="AB19" s="4">
        <v>75</v>
      </c>
      <c r="AC19" s="4">
        <v>75</v>
      </c>
      <c r="AD19" s="4">
        <v>75</v>
      </c>
      <c r="AE19" s="4">
        <v>75</v>
      </c>
      <c r="AF19" s="4">
        <v>75</v>
      </c>
      <c r="AG19" s="4">
        <v>0</v>
      </c>
      <c r="AH19" s="4">
        <v>75</v>
      </c>
      <c r="AI19" s="4">
        <v>75</v>
      </c>
      <c r="AJ19" s="4">
        <v>75</v>
      </c>
      <c r="AK19" s="4">
        <v>0</v>
      </c>
      <c r="AL19" s="4">
        <v>0</v>
      </c>
      <c r="AM19" s="4">
        <v>0</v>
      </c>
      <c r="AN19" s="4">
        <v>45</v>
      </c>
      <c r="AO19" s="4">
        <v>45</v>
      </c>
      <c r="AP19" s="4">
        <v>45</v>
      </c>
      <c r="AQ19" s="4">
        <v>45</v>
      </c>
      <c r="AR19" s="4">
        <v>45</v>
      </c>
      <c r="AS19" s="4">
        <v>45</v>
      </c>
      <c r="AT19" s="4">
        <v>45</v>
      </c>
      <c r="AU19" s="4">
        <v>75</v>
      </c>
      <c r="AV19" s="4">
        <v>37</v>
      </c>
      <c r="AW19" s="4">
        <v>37</v>
      </c>
      <c r="AX19" s="4">
        <v>75</v>
      </c>
      <c r="AY19" s="39">
        <v>75</v>
      </c>
      <c r="AZ19" s="1"/>
      <c r="BA19" s="1"/>
    </row>
    <row r="20" spans="3:53" x14ac:dyDescent="0.25">
      <c r="C20" s="49">
        <v>10</v>
      </c>
      <c r="D20" s="44" t="s">
        <v>42</v>
      </c>
      <c r="E20" s="46">
        <v>82881</v>
      </c>
      <c r="F20" s="46">
        <v>4977.6499999999996</v>
      </c>
      <c r="G20" s="46">
        <v>5363185491.2200003</v>
      </c>
      <c r="H20" s="58">
        <v>10</v>
      </c>
      <c r="I20" s="53">
        <f t="shared" si="0"/>
        <v>5.8090554006742009E-3</v>
      </c>
      <c r="J20" s="53">
        <f>SUM($I$11:I20)</f>
        <v>0.98316214302215266</v>
      </c>
      <c r="K20" s="53">
        <f t="shared" si="1"/>
        <v>1.8321071090149795E-2</v>
      </c>
      <c r="L20" s="53">
        <f>SUM($K$11:K20)</f>
        <v>0.9259980345033072</v>
      </c>
      <c r="Q20" s="1"/>
      <c r="R20" s="185"/>
      <c r="S20" s="3">
        <v>10</v>
      </c>
      <c r="T20" s="4">
        <v>75</v>
      </c>
      <c r="U20" s="4">
        <v>75</v>
      </c>
      <c r="V20" s="4">
        <v>75</v>
      </c>
      <c r="W20" s="4">
        <v>0</v>
      </c>
      <c r="X20" s="4">
        <v>0</v>
      </c>
      <c r="Y20" s="4">
        <v>0</v>
      </c>
      <c r="Z20" s="4">
        <v>75</v>
      </c>
      <c r="AA20" s="4">
        <v>75</v>
      </c>
      <c r="AB20" s="4">
        <v>75</v>
      </c>
      <c r="AC20" s="4">
        <v>75</v>
      </c>
      <c r="AD20" s="4">
        <v>75</v>
      </c>
      <c r="AE20" s="4">
        <v>75</v>
      </c>
      <c r="AF20" s="4">
        <v>75</v>
      </c>
      <c r="AG20" s="4">
        <v>0</v>
      </c>
      <c r="AH20" s="4">
        <v>75</v>
      </c>
      <c r="AI20" s="4">
        <v>75</v>
      </c>
      <c r="AJ20" s="4">
        <v>75</v>
      </c>
      <c r="AK20" s="4">
        <v>0</v>
      </c>
      <c r="AL20" s="4">
        <v>0</v>
      </c>
      <c r="AM20" s="4">
        <v>0</v>
      </c>
      <c r="AN20" s="4">
        <v>45</v>
      </c>
      <c r="AO20" s="4">
        <v>45</v>
      </c>
      <c r="AP20" s="4">
        <v>45</v>
      </c>
      <c r="AQ20" s="4">
        <v>45</v>
      </c>
      <c r="AR20" s="4">
        <v>40</v>
      </c>
      <c r="AS20" s="4">
        <v>40</v>
      </c>
      <c r="AT20" s="4">
        <v>40</v>
      </c>
      <c r="AU20" s="4">
        <v>75</v>
      </c>
      <c r="AV20" s="4">
        <v>37</v>
      </c>
      <c r="AW20" s="4">
        <v>37</v>
      </c>
      <c r="AX20" s="4">
        <v>75</v>
      </c>
      <c r="AY20" s="39">
        <v>75</v>
      </c>
      <c r="AZ20" s="1"/>
      <c r="BA20" s="1"/>
    </row>
    <row r="21" spans="3:53" ht="15.75" thickBot="1" x14ac:dyDescent="0.3">
      <c r="C21" s="49" t="s">
        <v>46</v>
      </c>
      <c r="D21" s="44" t="s">
        <v>43</v>
      </c>
      <c r="E21" s="46">
        <v>240235</v>
      </c>
      <c r="F21" s="46">
        <v>6936.42</v>
      </c>
      <c r="G21" s="46">
        <v>21662831049.599998</v>
      </c>
      <c r="H21" s="58" t="s">
        <v>46</v>
      </c>
      <c r="I21" s="53">
        <f t="shared" si="0"/>
        <v>1.6837856977847357E-2</v>
      </c>
      <c r="J21" s="53">
        <f>SUM($I$11:I21)</f>
        <v>1</v>
      </c>
      <c r="K21" s="53">
        <f t="shared" si="1"/>
        <v>7.4001965496692801E-2</v>
      </c>
      <c r="L21" s="53">
        <f>SUM($K$11:K21)</f>
        <v>1</v>
      </c>
      <c r="Q21" s="1"/>
      <c r="R21" s="186"/>
      <c r="S21" s="40" t="s">
        <v>0</v>
      </c>
      <c r="T21" s="41">
        <v>75</v>
      </c>
      <c r="U21" s="41">
        <v>75</v>
      </c>
      <c r="V21" s="41">
        <v>75</v>
      </c>
      <c r="W21" s="41">
        <v>0</v>
      </c>
      <c r="X21" s="41">
        <v>0</v>
      </c>
      <c r="Y21" s="41">
        <v>0</v>
      </c>
      <c r="Z21" s="41">
        <v>75</v>
      </c>
      <c r="AA21" s="41">
        <v>75</v>
      </c>
      <c r="AB21" s="41">
        <v>75</v>
      </c>
      <c r="AC21" s="41">
        <v>75</v>
      </c>
      <c r="AD21" s="41">
        <v>75</v>
      </c>
      <c r="AE21" s="41">
        <v>75</v>
      </c>
      <c r="AF21" s="41">
        <v>75</v>
      </c>
      <c r="AG21" s="41">
        <v>0</v>
      </c>
      <c r="AH21" s="41">
        <v>75</v>
      </c>
      <c r="AI21" s="41">
        <v>75</v>
      </c>
      <c r="AJ21" s="41">
        <v>75</v>
      </c>
      <c r="AK21" s="41">
        <v>0</v>
      </c>
      <c r="AL21" s="41">
        <v>0</v>
      </c>
      <c r="AM21" s="41">
        <v>0</v>
      </c>
      <c r="AN21" s="41">
        <v>45</v>
      </c>
      <c r="AO21" s="41">
        <v>45</v>
      </c>
      <c r="AP21" s="41">
        <v>45</v>
      </c>
      <c r="AQ21" s="41">
        <v>45</v>
      </c>
      <c r="AR21" s="41">
        <v>40</v>
      </c>
      <c r="AS21" s="41">
        <v>40</v>
      </c>
      <c r="AT21" s="41">
        <v>40</v>
      </c>
      <c r="AU21" s="41">
        <v>75</v>
      </c>
      <c r="AV21" s="41">
        <v>32</v>
      </c>
      <c r="AW21" s="41">
        <v>22</v>
      </c>
      <c r="AX21" s="41">
        <v>75</v>
      </c>
      <c r="AY21" s="42">
        <v>75</v>
      </c>
      <c r="AZ21" s="1"/>
      <c r="BA21" s="1"/>
    </row>
    <row r="22" spans="3:53" ht="15.75" thickTop="1" x14ac:dyDescent="0.25">
      <c r="C22" s="47"/>
      <c r="D22" s="45" t="s">
        <v>44</v>
      </c>
      <c r="E22" s="43">
        <v>14267552</v>
      </c>
      <c r="F22" s="43">
        <v>33033.589999999997</v>
      </c>
      <c r="G22" s="43">
        <v>292733184912.07001</v>
      </c>
      <c r="I22" s="53">
        <f t="shared" si="0"/>
        <v>1</v>
      </c>
      <c r="J22" s="52"/>
      <c r="K22" s="53">
        <f t="shared" si="1"/>
        <v>1</v>
      </c>
      <c r="L22" s="53"/>
    </row>
    <row r="23" spans="3:53" ht="15.75" thickBot="1" x14ac:dyDescent="0.3"/>
    <row r="24" spans="3:53" ht="15.75" thickTop="1" x14ac:dyDescent="0.25">
      <c r="T24" s="189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88"/>
      <c r="AV24" s="198"/>
      <c r="AW24" s="199"/>
      <c r="AX24" s="88"/>
      <c r="AY24" s="88"/>
    </row>
    <row r="25" spans="3:53" x14ac:dyDescent="0.25">
      <c r="H25" s="183" t="s">
        <v>49</v>
      </c>
      <c r="I25" s="184"/>
      <c r="J25" s="184"/>
      <c r="K25" s="184"/>
      <c r="L25" s="184"/>
      <c r="M25" s="184"/>
      <c r="T25" s="77">
        <f>T11*$K11</f>
        <v>1.5011824145800174</v>
      </c>
      <c r="U25" s="77">
        <f t="shared" ref="U25:AJ25" si="2">U11*$K11</f>
        <v>1.5011824145800174</v>
      </c>
      <c r="V25" s="77">
        <f t="shared" si="2"/>
        <v>1.5011824145800174</v>
      </c>
      <c r="W25" s="77">
        <f t="shared" si="2"/>
        <v>1.5011824145800174</v>
      </c>
      <c r="X25" s="77">
        <f t="shared" si="2"/>
        <v>1.5011824145800174</v>
      </c>
      <c r="Y25" s="77">
        <f t="shared" si="2"/>
        <v>1.5011824145800174</v>
      </c>
      <c r="Z25" s="77">
        <f t="shared" si="2"/>
        <v>1.5011824145800174</v>
      </c>
      <c r="AA25" s="77">
        <f t="shared" si="2"/>
        <v>1.5011824145800174</v>
      </c>
      <c r="AB25" s="77">
        <f t="shared" si="2"/>
        <v>1.5011824145800174</v>
      </c>
      <c r="AC25" s="77">
        <f t="shared" si="2"/>
        <v>1.5011824145800174</v>
      </c>
      <c r="AD25" s="77">
        <f t="shared" si="2"/>
        <v>1.5011824145800174</v>
      </c>
      <c r="AE25" s="77">
        <f t="shared" si="2"/>
        <v>1.5011824145800174</v>
      </c>
      <c r="AF25" s="77">
        <f t="shared" si="2"/>
        <v>1.5011824145800174</v>
      </c>
      <c r="AG25" s="77">
        <f t="shared" si="2"/>
        <v>1.5011824145800174</v>
      </c>
      <c r="AH25" s="77">
        <f t="shared" si="2"/>
        <v>1.5011824145800174</v>
      </c>
      <c r="AI25" s="77">
        <f t="shared" si="2"/>
        <v>1.5011824145800174</v>
      </c>
      <c r="AJ25" s="77">
        <f t="shared" si="2"/>
        <v>1.5011824145800174</v>
      </c>
      <c r="AK25" s="47">
        <f>AK11*$K11</f>
        <v>1.5011824145800174</v>
      </c>
      <c r="AL25" s="47">
        <f t="shared" ref="AL25:AT25" si="3">AL11*$K11</f>
        <v>1.5011824145800174</v>
      </c>
      <c r="AM25" s="47">
        <f t="shared" si="3"/>
        <v>1.5011824145800174</v>
      </c>
      <c r="AN25" s="47">
        <f t="shared" si="3"/>
        <v>1.5011824145800174</v>
      </c>
      <c r="AO25" s="47">
        <f t="shared" si="3"/>
        <v>1.5011824145800174</v>
      </c>
      <c r="AP25" s="47">
        <f t="shared" si="3"/>
        <v>1.5011824145800174</v>
      </c>
      <c r="AQ25" s="47">
        <f t="shared" si="3"/>
        <v>1.5011824145800174</v>
      </c>
      <c r="AR25" s="47">
        <f t="shared" si="3"/>
        <v>1.5011824145800174</v>
      </c>
      <c r="AS25" s="47">
        <f t="shared" si="3"/>
        <v>1.5011824145800174</v>
      </c>
      <c r="AT25" s="47">
        <f t="shared" si="3"/>
        <v>1.5011824145800174</v>
      </c>
      <c r="AU25" s="77">
        <f>AU11*$K11</f>
        <v>1.5011824145800174</v>
      </c>
      <c r="AV25" s="47">
        <f t="shared" ref="AV25:AW35" si="4">AV11*$K11</f>
        <v>1.5011824145800174</v>
      </c>
      <c r="AW25" s="47">
        <f t="shared" si="4"/>
        <v>1.5011824145800174</v>
      </c>
      <c r="AX25" s="77">
        <f>AX11*$K11</f>
        <v>1.5011824145800174</v>
      </c>
      <c r="AY25" s="77">
        <f>AY11*$K11</f>
        <v>1.5011824145800174</v>
      </c>
      <c r="AZ25" s="2">
        <v>1</v>
      </c>
    </row>
    <row r="26" spans="3:53" x14ac:dyDescent="0.25">
      <c r="T26" s="77">
        <f>(1/1.5*T11+0.5/1.5*T12)*$K12</f>
        <v>13.004368320422822</v>
      </c>
      <c r="U26" s="77">
        <f t="shared" ref="U26:AJ26" si="5">(1/1.5*U11+0.5/1.5*U12)*$K12</f>
        <v>13.004368320422822</v>
      </c>
      <c r="V26" s="77">
        <f t="shared" si="5"/>
        <v>13.004368320422822</v>
      </c>
      <c r="W26" s="77">
        <f t="shared" si="5"/>
        <v>13.004368320422822</v>
      </c>
      <c r="X26" s="77">
        <f t="shared" si="5"/>
        <v>13.004368320422822</v>
      </c>
      <c r="Y26" s="77">
        <f t="shared" si="5"/>
        <v>13.004368320422822</v>
      </c>
      <c r="Z26" s="77">
        <f t="shared" si="5"/>
        <v>13.004368320422822</v>
      </c>
      <c r="AA26" s="77">
        <f t="shared" si="5"/>
        <v>13.004368320422822</v>
      </c>
      <c r="AB26" s="77">
        <f t="shared" si="5"/>
        <v>13.004368320422822</v>
      </c>
      <c r="AC26" s="77">
        <f t="shared" si="5"/>
        <v>13.004368320422822</v>
      </c>
      <c r="AD26" s="77">
        <f t="shared" si="5"/>
        <v>13.004368320422822</v>
      </c>
      <c r="AE26" s="77">
        <f t="shared" si="5"/>
        <v>13.004368320422822</v>
      </c>
      <c r="AF26" s="77">
        <f t="shared" si="5"/>
        <v>13.004368320422822</v>
      </c>
      <c r="AG26" s="77">
        <f t="shared" si="5"/>
        <v>13.004368320422822</v>
      </c>
      <c r="AH26" s="77">
        <f t="shared" si="5"/>
        <v>13.004368320422822</v>
      </c>
      <c r="AI26" s="77">
        <f t="shared" si="5"/>
        <v>13.004368320422822</v>
      </c>
      <c r="AJ26" s="77">
        <f t="shared" si="5"/>
        <v>13.004368320422822</v>
      </c>
      <c r="AK26" s="47">
        <f t="shared" ref="AK26:AT35" si="6">AK12*$K12</f>
        <v>13.004368320422824</v>
      </c>
      <c r="AL26" s="47">
        <f t="shared" si="6"/>
        <v>13.004368320422824</v>
      </c>
      <c r="AM26" s="47">
        <f t="shared" si="6"/>
        <v>13.004368320422824</v>
      </c>
      <c r="AN26" s="47">
        <f t="shared" si="6"/>
        <v>13.004368320422824</v>
      </c>
      <c r="AO26" s="47">
        <f t="shared" si="6"/>
        <v>13.004368320422824</v>
      </c>
      <c r="AP26" s="47">
        <f t="shared" si="6"/>
        <v>13.004368320422824</v>
      </c>
      <c r="AQ26" s="47">
        <f t="shared" si="6"/>
        <v>13.004368320422824</v>
      </c>
      <c r="AR26" s="47">
        <f t="shared" si="6"/>
        <v>13.004368320422824</v>
      </c>
      <c r="AS26" s="47">
        <f t="shared" si="6"/>
        <v>13.004368320422824</v>
      </c>
      <c r="AT26" s="47">
        <f t="shared" si="6"/>
        <v>13.004368320422824</v>
      </c>
      <c r="AU26" s="77">
        <f>(1/1.5*AU11+0.5/1.5*AU12)*$K12</f>
        <v>13.004368320422822</v>
      </c>
      <c r="AV26" s="47">
        <f t="shared" si="4"/>
        <v>13.004368320422824</v>
      </c>
      <c r="AW26" s="47">
        <f t="shared" si="4"/>
        <v>13.004368320422824</v>
      </c>
      <c r="AX26" s="77">
        <f>(1/1.5*AX11+0.5/1.5*AX12)*$K12</f>
        <v>13.004368320422822</v>
      </c>
      <c r="AY26" s="77">
        <f>(1/1.5*AY11+0.5/1.5*AY12)*$K12</f>
        <v>13.004368320422822</v>
      </c>
      <c r="AZ26" s="2">
        <v>2</v>
      </c>
    </row>
    <row r="27" spans="3:53" x14ac:dyDescent="0.25">
      <c r="T27" s="77">
        <f>(1/2.5*T11+1/2.5*T12+0.5/2.5*T13)*$K13</f>
        <v>19.984905364249745</v>
      </c>
      <c r="U27" s="77">
        <f t="shared" ref="U27:AJ27" si="7">(1/2.5*U11+1/2.5*U12+0.5/2.5*U13)*$K13</f>
        <v>19.984905364249745</v>
      </c>
      <c r="V27" s="77">
        <f t="shared" si="7"/>
        <v>19.984905364249745</v>
      </c>
      <c r="W27" s="77">
        <f t="shared" si="7"/>
        <v>19.984905364249745</v>
      </c>
      <c r="X27" s="77">
        <f t="shared" si="7"/>
        <v>19.984905364249745</v>
      </c>
      <c r="Y27" s="77">
        <f t="shared" si="7"/>
        <v>19.984905364249745</v>
      </c>
      <c r="Z27" s="77">
        <f t="shared" si="7"/>
        <v>20.392760575765045</v>
      </c>
      <c r="AA27" s="77">
        <f t="shared" si="7"/>
        <v>20.392760575765045</v>
      </c>
      <c r="AB27" s="77">
        <f t="shared" si="7"/>
        <v>20.392760575765045</v>
      </c>
      <c r="AC27" s="77">
        <f t="shared" si="7"/>
        <v>20.392760575765045</v>
      </c>
      <c r="AD27" s="77">
        <f t="shared" si="7"/>
        <v>20.392760575765045</v>
      </c>
      <c r="AE27" s="77">
        <f t="shared" si="7"/>
        <v>20.392760575765045</v>
      </c>
      <c r="AF27" s="77">
        <f t="shared" si="7"/>
        <v>20.392760575765045</v>
      </c>
      <c r="AG27" s="77">
        <f t="shared" si="7"/>
        <v>20.392760575765045</v>
      </c>
      <c r="AH27" s="77">
        <f t="shared" si="7"/>
        <v>20.392760575765045</v>
      </c>
      <c r="AI27" s="77">
        <f t="shared" si="7"/>
        <v>20.392760575765045</v>
      </c>
      <c r="AJ27" s="77">
        <f t="shared" si="7"/>
        <v>20.392760575765045</v>
      </c>
      <c r="AK27" s="47">
        <f t="shared" si="6"/>
        <v>20.392760575765045</v>
      </c>
      <c r="AL27" s="47">
        <f t="shared" si="6"/>
        <v>20.392760575765045</v>
      </c>
      <c r="AM27" s="47">
        <f t="shared" si="6"/>
        <v>20.392760575765045</v>
      </c>
      <c r="AN27" s="47">
        <f t="shared" si="6"/>
        <v>20.392760575765045</v>
      </c>
      <c r="AO27" s="47">
        <f t="shared" si="6"/>
        <v>20.392760575765045</v>
      </c>
      <c r="AP27" s="47">
        <f t="shared" si="6"/>
        <v>20.392760575765045</v>
      </c>
      <c r="AQ27" s="47">
        <f t="shared" si="6"/>
        <v>20.392760575765045</v>
      </c>
      <c r="AR27" s="47">
        <f t="shared" si="6"/>
        <v>20.392760575765045</v>
      </c>
      <c r="AS27" s="47">
        <f t="shared" si="6"/>
        <v>20.392760575765045</v>
      </c>
      <c r="AT27" s="47">
        <f t="shared" si="6"/>
        <v>20.392760575765045</v>
      </c>
      <c r="AU27" s="77">
        <f>(1/2.5*AU11+1/2.5*AU12+0.5/2.5*AU13)*$K13</f>
        <v>20.392760575765045</v>
      </c>
      <c r="AV27" s="47">
        <f t="shared" si="4"/>
        <v>20.392760575765045</v>
      </c>
      <c r="AW27" s="47">
        <f t="shared" si="4"/>
        <v>20.392760575765045</v>
      </c>
      <c r="AX27" s="77">
        <f>(1/2.5*AX11+1/2.5*AX12+0.5/2.5*AX13)*$K13</f>
        <v>20.392760575765045</v>
      </c>
      <c r="AY27" s="77">
        <f>(1/2.5*AY11+1/2.5*AY12+0.5/2.5*AY13)*$K13</f>
        <v>20.392760575765045</v>
      </c>
      <c r="AZ27" s="2">
        <v>3</v>
      </c>
    </row>
    <row r="28" spans="3:53" x14ac:dyDescent="0.25">
      <c r="T28" s="77">
        <f>(1/3.5*T11+1/3.5*T12+1/3.5*T13+0.5/3.5*T14)*$K14</f>
        <v>18.249493716112891</v>
      </c>
      <c r="U28" s="77">
        <f t="shared" ref="U28:AJ28" si="8">(1/3.5*U11+1/3.5*U12+1/3.5*U13+0.5/3.5*U14)*$K14</f>
        <v>18.249493716112891</v>
      </c>
      <c r="V28" s="77">
        <f t="shared" si="8"/>
        <v>18.249493716112891</v>
      </c>
      <c r="W28" s="77">
        <f t="shared" si="8"/>
        <v>18.249493716112891</v>
      </c>
      <c r="X28" s="77">
        <f t="shared" si="8"/>
        <v>18.249493716112891</v>
      </c>
      <c r="Y28" s="77">
        <f t="shared" si="8"/>
        <v>18.249493716112891</v>
      </c>
      <c r="Z28" s="77">
        <f t="shared" si="8"/>
        <v>19.224657502470073</v>
      </c>
      <c r="AA28" s="77">
        <f t="shared" si="8"/>
        <v>19.224657502470073</v>
      </c>
      <c r="AB28" s="77">
        <f t="shared" si="8"/>
        <v>19.224657502470073</v>
      </c>
      <c r="AC28" s="77">
        <f t="shared" si="8"/>
        <v>19.224657502470073</v>
      </c>
      <c r="AD28" s="77">
        <f t="shared" si="8"/>
        <v>19.224657502470073</v>
      </c>
      <c r="AE28" s="77">
        <f t="shared" si="8"/>
        <v>19.224657502470073</v>
      </c>
      <c r="AF28" s="77">
        <f t="shared" si="8"/>
        <v>19.224657502470073</v>
      </c>
      <c r="AG28" s="77">
        <f t="shared" si="8"/>
        <v>19.503275727143553</v>
      </c>
      <c r="AH28" s="77">
        <f t="shared" si="8"/>
        <v>19.503275727143553</v>
      </c>
      <c r="AI28" s="77">
        <f t="shared" si="8"/>
        <v>19.503275727143553</v>
      </c>
      <c r="AJ28" s="77">
        <f t="shared" si="8"/>
        <v>19.224657502470073</v>
      </c>
      <c r="AK28" s="47">
        <f t="shared" si="6"/>
        <v>7.8013102908574208</v>
      </c>
      <c r="AL28" s="47">
        <f t="shared" si="6"/>
        <v>7.8013102908574208</v>
      </c>
      <c r="AM28" s="47">
        <f t="shared" si="6"/>
        <v>18.528111940786374</v>
      </c>
      <c r="AN28" s="47">
        <f t="shared" si="6"/>
        <v>18.528111940786374</v>
      </c>
      <c r="AO28" s="47">
        <f t="shared" si="6"/>
        <v>18.528111940786374</v>
      </c>
      <c r="AP28" s="47">
        <f t="shared" si="6"/>
        <v>18.528111940786374</v>
      </c>
      <c r="AQ28" s="47">
        <f t="shared" si="6"/>
        <v>18.528111940786374</v>
      </c>
      <c r="AR28" s="47">
        <f t="shared" si="6"/>
        <v>18.918177455329246</v>
      </c>
      <c r="AS28" s="47">
        <f t="shared" si="6"/>
        <v>19.503275727143553</v>
      </c>
      <c r="AT28" s="47">
        <f t="shared" si="6"/>
        <v>19.503275727143553</v>
      </c>
      <c r="AU28" s="77">
        <f>(1/3.5*AU11+1/3.5*AU12+1/3.5*AU13+0.5/3.5*AU14)*$K14</f>
        <v>19.503275727143553</v>
      </c>
      <c r="AV28" s="47">
        <f t="shared" si="4"/>
        <v>19.503275727143553</v>
      </c>
      <c r="AW28" s="47">
        <f t="shared" si="4"/>
        <v>19.503275727143553</v>
      </c>
      <c r="AX28" s="77">
        <f>(1/3.5*AX11+1/3.5*AX12+1/3.5*AX13+0.5/3.5*AX14)*$K14</f>
        <v>19.503275727143553</v>
      </c>
      <c r="AY28" s="77">
        <f>(1/3.5*AY11+1/3.5*AY12+1/3.5*AY13+0.5/3.5*AY14)*$K14</f>
        <v>19.503275727143553</v>
      </c>
      <c r="AZ28" s="2">
        <v>4</v>
      </c>
    </row>
    <row r="29" spans="3:53" x14ac:dyDescent="0.25">
      <c r="T29" s="77">
        <f>(1/4.5*T11+1/4.5*T12+1/4.5*T13+1/4.5*T14+0.5/4.5*T15)*$K15</f>
        <v>14.23940070190487</v>
      </c>
      <c r="U29" s="77">
        <f t="shared" ref="U29:AJ29" si="9">(1/4.5*U11+1/4.5*U12+1/4.5*U13+1/4.5*U14+0.5/4.5*U15)*$K15</f>
        <v>14.23940070190487</v>
      </c>
      <c r="V29" s="77">
        <f t="shared" si="9"/>
        <v>14.23940070190487</v>
      </c>
      <c r="W29" s="77">
        <f t="shared" si="9"/>
        <v>14.23940070190487</v>
      </c>
      <c r="X29" s="77">
        <f t="shared" si="9"/>
        <v>14.23940070190487</v>
      </c>
      <c r="Y29" s="77">
        <f t="shared" si="9"/>
        <v>14.23940070190487</v>
      </c>
      <c r="Z29" s="77">
        <f t="shared" si="9"/>
        <v>15.389165975971721</v>
      </c>
      <c r="AA29" s="77">
        <f t="shared" si="9"/>
        <v>15.389165975971721</v>
      </c>
      <c r="AB29" s="77">
        <f t="shared" si="9"/>
        <v>15.389165975971721</v>
      </c>
      <c r="AC29" s="77">
        <f t="shared" si="9"/>
        <v>15.389165975971721</v>
      </c>
      <c r="AD29" s="77">
        <f t="shared" si="9"/>
        <v>15.389165975971721</v>
      </c>
      <c r="AE29" s="77">
        <f t="shared" si="9"/>
        <v>15.389165975971721</v>
      </c>
      <c r="AF29" s="77">
        <f t="shared" si="9"/>
        <v>15.389165975971721</v>
      </c>
      <c r="AG29" s="77">
        <f t="shared" si="9"/>
        <v>15.919826871694887</v>
      </c>
      <c r="AH29" s="77">
        <f t="shared" si="9"/>
        <v>15.919826871694887</v>
      </c>
      <c r="AI29" s="77">
        <f t="shared" si="9"/>
        <v>15.919826871694887</v>
      </c>
      <c r="AJ29" s="77">
        <f t="shared" si="9"/>
        <v>15.389165975971721</v>
      </c>
      <c r="AK29" s="47">
        <f t="shared" si="6"/>
        <v>3.1839653743389773</v>
      </c>
      <c r="AL29" s="47">
        <f t="shared" si="6"/>
        <v>3.1839653743389773</v>
      </c>
      <c r="AM29" s="47">
        <f t="shared" si="6"/>
        <v>11.939870153771166</v>
      </c>
      <c r="AN29" s="47">
        <f t="shared" si="6"/>
        <v>11.939870153771166</v>
      </c>
      <c r="AO29" s="47">
        <f t="shared" si="6"/>
        <v>11.939870153771166</v>
      </c>
      <c r="AP29" s="47">
        <f t="shared" si="6"/>
        <v>11.939870153771166</v>
      </c>
      <c r="AQ29" s="47">
        <f t="shared" si="6"/>
        <v>11.939870153771166</v>
      </c>
      <c r="AR29" s="47">
        <f t="shared" si="6"/>
        <v>12.258266691205062</v>
      </c>
      <c r="AS29" s="47">
        <f t="shared" si="6"/>
        <v>12.258266691205062</v>
      </c>
      <c r="AT29" s="47">
        <f t="shared" si="6"/>
        <v>12.258266691205062</v>
      </c>
      <c r="AU29" s="77">
        <f>(1/4.5*AU11+1/4.5*AU12+1/4.5*AU13+1/4.5*AU14+0.5/4.5*AU15)*$K15</f>
        <v>15.742939906453831</v>
      </c>
      <c r="AV29" s="47">
        <f t="shared" si="4"/>
        <v>13.531852840940653</v>
      </c>
      <c r="AW29" s="47">
        <f t="shared" si="4"/>
        <v>13.531852840940653</v>
      </c>
      <c r="AX29" s="77">
        <f>(1/4.5*AX11+1/4.5*AX12+1/4.5*AX13+1/4.5*AX14+0.5/4.5*AX15)*$K15</f>
        <v>15.742939906453831</v>
      </c>
      <c r="AY29" s="77">
        <f>(1/4.5*AY11+1/4.5*AY12+1/4.5*AY13+1/4.5*AY14+0.5/4.5*AY15)*$K15</f>
        <v>15.742939906453831</v>
      </c>
      <c r="AZ29" s="2">
        <v>5</v>
      </c>
    </row>
    <row r="30" spans="3:53" x14ac:dyDescent="0.25">
      <c r="T30" s="77">
        <f>(1/5.5*T11+1/5.5*T12+1/5.5*T13+1/5.5*T14+1/5.5*T15+0.5/5.5*T16)*$K16</f>
        <v>8.0969683926943681</v>
      </c>
      <c r="U30" s="77">
        <f t="shared" ref="U30:AJ30" si="10">(1/5.5*U11+1/5.5*U12+1/5.5*U13+1/5.5*U14+1/5.5*U15+0.5/5.5*U16)*$K16</f>
        <v>8.0969683926943681</v>
      </c>
      <c r="V30" s="77">
        <f t="shared" si="10"/>
        <v>8.0969683926943681</v>
      </c>
      <c r="W30" s="77">
        <v>0</v>
      </c>
      <c r="X30" s="77">
        <f t="shared" si="10"/>
        <v>7.7154358506302358</v>
      </c>
      <c r="Y30" s="77">
        <f t="shared" si="10"/>
        <v>7.7154358506302358</v>
      </c>
      <c r="Z30" s="77">
        <f t="shared" si="10"/>
        <v>8.7752484674750448</v>
      </c>
      <c r="AA30" s="77">
        <f t="shared" si="10"/>
        <v>8.7752484674750448</v>
      </c>
      <c r="AB30" s="77">
        <f t="shared" si="10"/>
        <v>8.7752484674750448</v>
      </c>
      <c r="AC30" s="77">
        <f t="shared" si="10"/>
        <v>8.7752484674750448</v>
      </c>
      <c r="AD30" s="77">
        <f t="shared" si="10"/>
        <v>8.7752484674750448</v>
      </c>
      <c r="AE30" s="77">
        <f t="shared" si="10"/>
        <v>8.7752484674750448</v>
      </c>
      <c r="AF30" s="77">
        <f t="shared" si="10"/>
        <v>8.7752484674750448</v>
      </c>
      <c r="AG30" s="77">
        <f t="shared" si="10"/>
        <v>9.1143885048653868</v>
      </c>
      <c r="AH30" s="77">
        <f t="shared" si="10"/>
        <v>9.1143885048653868</v>
      </c>
      <c r="AI30" s="77">
        <f t="shared" si="10"/>
        <v>9.1143885048653868</v>
      </c>
      <c r="AJ30" s="77">
        <f t="shared" si="10"/>
        <v>8.7752484674750448</v>
      </c>
      <c r="AK30" s="47">
        <f t="shared" si="6"/>
        <v>0.93263510282343487</v>
      </c>
      <c r="AL30" s="47">
        <f t="shared" si="6"/>
        <v>0.93263510282343487</v>
      </c>
      <c r="AM30" s="47">
        <f t="shared" si="6"/>
        <v>4.6631755141171745</v>
      </c>
      <c r="AN30" s="47">
        <f t="shared" si="6"/>
        <v>4.6631755141171745</v>
      </c>
      <c r="AO30" s="47">
        <f t="shared" si="6"/>
        <v>4.6631755141171745</v>
      </c>
      <c r="AP30" s="47">
        <f t="shared" si="6"/>
        <v>4.6631755141171745</v>
      </c>
      <c r="AQ30" s="47">
        <f t="shared" si="6"/>
        <v>4.6631755141171745</v>
      </c>
      <c r="AR30" s="47">
        <f t="shared" si="6"/>
        <v>4.8497025346818612</v>
      </c>
      <c r="AS30" s="47">
        <f t="shared" si="6"/>
        <v>4.8497025346818612</v>
      </c>
      <c r="AT30" s="47">
        <f t="shared" si="6"/>
        <v>4.8497025346818612</v>
      </c>
      <c r="AU30" s="77">
        <f>(1/5.5*AU11+1/5.5*AU12+1/5.5*AU13+1/5.5*AU14+1/5.5*AU15+0.5/5.5*AU16)*$K16</f>
        <v>8.9448184861702167</v>
      </c>
      <c r="AV30" s="47">
        <f t="shared" si="4"/>
        <v>4.942966044964205</v>
      </c>
      <c r="AW30" s="47">
        <f t="shared" si="4"/>
        <v>4.942966044964205</v>
      </c>
      <c r="AX30" s="77">
        <f>(1/5.5*AX11+1/5.5*AX12+1/5.5*AX13+1/5.5*AX14+1/5.5*AX15+0.5/5.5*AX16)*$K16</f>
        <v>8.9448184861702167</v>
      </c>
      <c r="AY30" s="77">
        <f>(1/5.5*AY11+1/5.5*AY12+1/5.5*AY13+1/5.5*AY14+1/5.5*AY15+0.5/5.5*AY16)*$K16</f>
        <v>8.9448184861702167</v>
      </c>
      <c r="AZ30" s="2">
        <v>6</v>
      </c>
    </row>
    <row r="31" spans="3:53" x14ac:dyDescent="0.25">
      <c r="T31" s="77">
        <f>(1/6.5*T11+1/6.5*T12+1/6.5*T13+1/6.5*T14+1/6.5*T15+1/6.5*T16+0.5/6.5*T17)*$K17</f>
        <v>4.686716359359643</v>
      </c>
      <c r="U31" s="77">
        <f t="shared" ref="U31:AJ31" si="11">(1/6.5*U11+1/6.5*U12+1/6.5*U13+1/6.5*U14+1/6.5*U15+1/6.5*U16+0.5/6.5*U17)*$K17</f>
        <v>4.686716359359643</v>
      </c>
      <c r="V31" s="77">
        <f t="shared" si="11"/>
        <v>4.686716359359643</v>
      </c>
      <c r="W31" s="77">
        <v>0</v>
      </c>
      <c r="X31" s="77">
        <f t="shared" si="11"/>
        <v>4.1141311027862928</v>
      </c>
      <c r="Y31" s="77">
        <f t="shared" si="11"/>
        <v>4.1141311027862928</v>
      </c>
      <c r="Z31" s="77">
        <f t="shared" si="11"/>
        <v>5.0260261410327391</v>
      </c>
      <c r="AA31" s="77">
        <f t="shared" si="11"/>
        <v>5.0260261410327391</v>
      </c>
      <c r="AB31" s="77">
        <f t="shared" si="11"/>
        <v>5.0260261410327391</v>
      </c>
      <c r="AC31" s="77">
        <f t="shared" si="11"/>
        <v>5.0260261410327391</v>
      </c>
      <c r="AD31" s="77">
        <f t="shared" si="11"/>
        <v>5.0260261410327391</v>
      </c>
      <c r="AE31" s="77">
        <f t="shared" si="11"/>
        <v>5.0260261410327391</v>
      </c>
      <c r="AF31" s="77">
        <f t="shared" si="11"/>
        <v>5.0260261410327391</v>
      </c>
      <c r="AG31" s="77">
        <f t="shared" si="11"/>
        <v>5.1956810318692872</v>
      </c>
      <c r="AH31" s="77">
        <f t="shared" si="11"/>
        <v>5.1956810318692872</v>
      </c>
      <c r="AI31" s="77">
        <f t="shared" si="11"/>
        <v>5.1956810318692872</v>
      </c>
      <c r="AJ31" s="77">
        <f t="shared" si="11"/>
        <v>5.0260261410327391</v>
      </c>
      <c r="AK31" s="47">
        <f t="shared" si="6"/>
        <v>0</v>
      </c>
      <c r="AL31" s="47">
        <f t="shared" si="6"/>
        <v>0</v>
      </c>
      <c r="AM31" s="47">
        <f t="shared" si="6"/>
        <v>2.2055135808751261</v>
      </c>
      <c r="AN31" s="47">
        <f t="shared" si="6"/>
        <v>2.481202778484517</v>
      </c>
      <c r="AO31" s="47">
        <f t="shared" si="6"/>
        <v>2.481202778484517</v>
      </c>
      <c r="AP31" s="47">
        <f t="shared" si="6"/>
        <v>2.481202778484517</v>
      </c>
      <c r="AQ31" s="47">
        <f t="shared" si="6"/>
        <v>2.481202778484517</v>
      </c>
      <c r="AR31" s="47">
        <f t="shared" si="6"/>
        <v>2.591478457528273</v>
      </c>
      <c r="AS31" s="47">
        <f t="shared" si="6"/>
        <v>2.591478457528273</v>
      </c>
      <c r="AT31" s="47">
        <f t="shared" si="6"/>
        <v>2.591478457528273</v>
      </c>
      <c r="AU31" s="77">
        <f>(1/6.5*AU11+1/6.5*AU12+1/6.5*AU13+1/6.5*AU14+1/6.5*AU15+1/6.5*AU16+0.5/6.5*AU17)*$K17</f>
        <v>5.1108535864510136</v>
      </c>
      <c r="AV31" s="47">
        <f t="shared" si="4"/>
        <v>2.591478457528273</v>
      </c>
      <c r="AW31" s="47">
        <f t="shared" si="4"/>
        <v>2.591478457528273</v>
      </c>
      <c r="AX31" s="77">
        <f>(1/6.5*AX11+1/6.5*AX12+1/6.5*AX13+1/6.5*AX14+1/6.5*AX15+1/6.5*AX16+0.5/6.5*AX17)*$K17</f>
        <v>5.1108535864510136</v>
      </c>
      <c r="AY31" s="77">
        <f>(1/6.5*AY11+1/6.5*AY12+1/6.5*AY13+1/6.5*AY14+1/6.5*AY15+1/6.5*AY16+0.5/6.5*AY17)*$K17</f>
        <v>5.1108535864510136</v>
      </c>
      <c r="AZ31" s="2">
        <v>7</v>
      </c>
    </row>
    <row r="32" spans="3:53" x14ac:dyDescent="0.25">
      <c r="T32" s="77">
        <f>(1/7.5*T11+1/7.5*T12+1/7.5*T13+1/7.5*T14+1/7.5*T15+1/7.5*T16+1/7.5*T17+0.5/7.5*T18)*$K18</f>
        <v>2.784432074183544</v>
      </c>
      <c r="U32" s="77">
        <f t="shared" ref="U32:AJ32" si="12">(1/7.5*U11+1/7.5*U12+1/7.5*U13+1/7.5*U14+1/7.5*U15+1/7.5*U16+1/7.5*U17+0.5/7.5*U18)*$K18</f>
        <v>2.784432074183544</v>
      </c>
      <c r="V32" s="77">
        <f t="shared" si="12"/>
        <v>2.784432074183544</v>
      </c>
      <c r="W32" s="77">
        <v>0</v>
      </c>
      <c r="X32" s="77">
        <f t="shared" si="12"/>
        <v>2.2852311047084064</v>
      </c>
      <c r="Y32" s="77">
        <f t="shared" si="12"/>
        <v>2.2852311047084064</v>
      </c>
      <c r="Z32" s="77">
        <f t="shared" si="12"/>
        <v>2.9619257522191482</v>
      </c>
      <c r="AA32" s="77">
        <f t="shared" si="12"/>
        <v>2.9619257522191482</v>
      </c>
      <c r="AB32" s="77">
        <f t="shared" si="12"/>
        <v>2.9619257522191482</v>
      </c>
      <c r="AC32" s="77">
        <f t="shared" si="12"/>
        <v>2.9619257522191482</v>
      </c>
      <c r="AD32" s="77">
        <f t="shared" si="12"/>
        <v>2.9619257522191482</v>
      </c>
      <c r="AE32" s="77">
        <f t="shared" si="12"/>
        <v>2.9619257522191482</v>
      </c>
      <c r="AF32" s="77">
        <f t="shared" si="12"/>
        <v>2.9619257522191482</v>
      </c>
      <c r="AG32" s="77">
        <f t="shared" si="12"/>
        <v>3.0506725912369506</v>
      </c>
      <c r="AH32" s="77">
        <f t="shared" si="12"/>
        <v>3.0506725912369506</v>
      </c>
      <c r="AI32" s="77">
        <f t="shared" si="12"/>
        <v>3.0506725912369506</v>
      </c>
      <c r="AJ32" s="77">
        <f t="shared" si="12"/>
        <v>2.9619257522191482</v>
      </c>
      <c r="AK32" s="47">
        <f t="shared" si="6"/>
        <v>0</v>
      </c>
      <c r="AL32" s="47">
        <f t="shared" si="6"/>
        <v>0</v>
      </c>
      <c r="AM32" s="47">
        <f t="shared" si="6"/>
        <v>0</v>
      </c>
      <c r="AN32" s="47">
        <f t="shared" si="6"/>
        <v>1.4976029084254119</v>
      </c>
      <c r="AO32" s="47">
        <f t="shared" si="6"/>
        <v>1.4976029084254119</v>
      </c>
      <c r="AP32" s="47">
        <f t="shared" si="6"/>
        <v>1.4976029084254119</v>
      </c>
      <c r="AQ32" s="47">
        <f t="shared" si="6"/>
        <v>1.4976029084254119</v>
      </c>
      <c r="AR32" s="47">
        <f t="shared" si="6"/>
        <v>1.5641630376887636</v>
      </c>
      <c r="AS32" s="47">
        <f t="shared" si="6"/>
        <v>1.5641630376887636</v>
      </c>
      <c r="AT32" s="47">
        <f t="shared" si="6"/>
        <v>1.5641630376887636</v>
      </c>
      <c r="AU32" s="77">
        <f>(1/7.5*AU11+1/7.5*AU12+1/7.5*AU13+1/7.5*AU14+1/7.5*AU15+1/7.5*AU16+1/7.5*AU17+0.5/7.5*AU18)*$K18</f>
        <v>3.0062991717280494</v>
      </c>
      <c r="AV32" s="47">
        <f t="shared" si="4"/>
        <v>1.5641630376887636</v>
      </c>
      <c r="AW32" s="47">
        <f t="shared" si="4"/>
        <v>1.5641630376887636</v>
      </c>
      <c r="AX32" s="77">
        <f>(1/7.5*AX11+1/7.5*AX12+1/7.5*AX13+1/7.5*AX14+1/7.5*AX15+1/7.5*AX16+1/7.5*AX17+0.5/7.5*AX18)*$K18</f>
        <v>3.0062991717280494</v>
      </c>
      <c r="AY32" s="77">
        <f>(1/7.5*AY11+1/7.5*AY12+1/7.5*AY13+1/7.5*AY14+1/7.5*AY15+1/7.5*AY16+1/7.5*AY17+0.5/7.5*AY18)*$K18</f>
        <v>3.0062991717280494</v>
      </c>
      <c r="AZ32" s="2">
        <v>8</v>
      </c>
    </row>
    <row r="33" spans="8:52" x14ac:dyDescent="0.25">
      <c r="T33" s="77">
        <f>(1/8.5*T11+1/8.5*T12+1/8.5*T13+1/8.5*T14+1/8.5*T15+1/8.5*T16+1/8.5*T17+1/8.5*T18+0.5/8.5*T19)*$K19</f>
        <v>1.8828165225341946</v>
      </c>
      <c r="U33" s="77">
        <f t="shared" ref="U33:AJ33" si="13">(1/8.5*U11+1/8.5*U12+1/8.5*U13+1/8.5*U14+1/8.5*U15+1/8.5*U16+1/8.5*U17+1/8.5*U18+0.5/8.5*U19)*$K19</f>
        <v>1.8828165225341946</v>
      </c>
      <c r="V33" s="77">
        <f t="shared" si="13"/>
        <v>1.8828165225341946</v>
      </c>
      <c r="W33" s="77">
        <v>0</v>
      </c>
      <c r="X33" s="77">
        <f t="shared" si="13"/>
        <v>1.4204879102393213</v>
      </c>
      <c r="Y33" s="77">
        <f t="shared" si="13"/>
        <v>1.4204879102393213</v>
      </c>
      <c r="Z33" s="77">
        <f t="shared" si="13"/>
        <v>1.9900231572692375</v>
      </c>
      <c r="AA33" s="77">
        <f t="shared" si="13"/>
        <v>1.9900231572692375</v>
      </c>
      <c r="AB33" s="77">
        <f t="shared" si="13"/>
        <v>1.9900231572692375</v>
      </c>
      <c r="AC33" s="77">
        <f t="shared" si="13"/>
        <v>1.9900231572692375</v>
      </c>
      <c r="AD33" s="77">
        <f t="shared" si="13"/>
        <v>1.9900231572692375</v>
      </c>
      <c r="AE33" s="77">
        <f t="shared" si="13"/>
        <v>1.9900231572692375</v>
      </c>
      <c r="AF33" s="77">
        <f t="shared" si="13"/>
        <v>1.9900231572692375</v>
      </c>
      <c r="AG33" s="77">
        <v>0</v>
      </c>
      <c r="AH33" s="77">
        <f t="shared" si="13"/>
        <v>2.0436264746367589</v>
      </c>
      <c r="AI33" s="77">
        <f t="shared" si="13"/>
        <v>2.0436264746367589</v>
      </c>
      <c r="AJ33" s="77">
        <f t="shared" si="13"/>
        <v>1.9900231572692375</v>
      </c>
      <c r="AK33" s="47">
        <f t="shared" si="6"/>
        <v>0</v>
      </c>
      <c r="AL33" s="47">
        <f t="shared" si="6"/>
        <v>0</v>
      </c>
      <c r="AM33" s="47">
        <f t="shared" si="6"/>
        <v>0</v>
      </c>
      <c r="AN33" s="47">
        <f t="shared" si="6"/>
        <v>1.0251634446538498</v>
      </c>
      <c r="AO33" s="47">
        <f t="shared" si="6"/>
        <v>1.0251634446538498</v>
      </c>
      <c r="AP33" s="47">
        <f t="shared" si="6"/>
        <v>1.0251634446538498</v>
      </c>
      <c r="AQ33" s="47">
        <f t="shared" si="6"/>
        <v>1.0251634446538498</v>
      </c>
      <c r="AR33" s="47">
        <f t="shared" si="6"/>
        <v>1.0251634446538498</v>
      </c>
      <c r="AS33" s="47">
        <f t="shared" si="6"/>
        <v>1.0251634446538498</v>
      </c>
      <c r="AT33" s="47">
        <f t="shared" si="6"/>
        <v>1.0251634446538498</v>
      </c>
      <c r="AU33" s="77">
        <f>(1/8.5*AU11+1/8.5*AU12+1/8.5*AU13+1/8.5*AU14+1/8.5*AU15+1/8.5*AU16+1/8.5*AU17+1/8.5*AU18+0.5/8.5*AU19)*$K19</f>
        <v>2.0168248159529982</v>
      </c>
      <c r="AV33" s="47">
        <f t="shared" si="4"/>
        <v>0.8429121656042764</v>
      </c>
      <c r="AW33" s="47">
        <f t="shared" si="4"/>
        <v>0.8429121656042764</v>
      </c>
      <c r="AX33" s="77">
        <f>(1/8.5*AX11+1/8.5*AX12+1/8.5*AX13+1/8.5*AX14+1/8.5*AX15+1/8.5*AX16+1/8.5*AX17+1/8.5*AX18+0.5/8.5*AX19)*$K19</f>
        <v>2.0168248159529982</v>
      </c>
      <c r="AY33" s="77">
        <f>(1/8.5*AY11+1/8.5*AY12+1/8.5*AY13+1/8.5*AY14+1/8.5*AY15+1/8.5*AY16+1/8.5*AY17+1/8.5*AY18+0.5/8.5*AY19)*$K19</f>
        <v>2.0168248159529982</v>
      </c>
      <c r="AZ33" s="2">
        <v>9</v>
      </c>
    </row>
    <row r="34" spans="8:52" x14ac:dyDescent="0.25">
      <c r="T34" s="77">
        <f>(1/9.5*T11+1/9.5*T12+1/9.5*T13+1/9.5*T14+1/9.5*T15+1/9.5*T16+1/9.5*T17+1/9.5*T18+1/9.5*T19+0.5/9.5*T20)*$K20</f>
        <v>1.499435028693838</v>
      </c>
      <c r="U34" s="77">
        <f t="shared" ref="U34:AJ34" si="14">(1/9.5*U11+1/9.5*U12+1/9.5*U13+1/9.5*U14+1/9.5*U15+1/9.5*U16+1/9.5*U17+1/9.5*U18+1/9.5*U19+0.5/9.5*U20)*$K20</f>
        <v>1.499435028693838</v>
      </c>
      <c r="V34" s="77">
        <f t="shared" si="14"/>
        <v>1.499435028693838</v>
      </c>
      <c r="W34" s="77">
        <v>0</v>
      </c>
      <c r="X34" s="77">
        <f t="shared" si="14"/>
        <v>1.0221229134504619</v>
      </c>
      <c r="Y34" s="77">
        <f t="shared" si="14"/>
        <v>1.0221229134504619</v>
      </c>
      <c r="Z34" s="77">
        <f t="shared" si="14"/>
        <v>1.5765763806523638</v>
      </c>
      <c r="AA34" s="77">
        <f t="shared" si="14"/>
        <v>1.5765763806523638</v>
      </c>
      <c r="AB34" s="77">
        <f t="shared" si="14"/>
        <v>1.5765763806523638</v>
      </c>
      <c r="AC34" s="77">
        <f t="shared" si="14"/>
        <v>1.5765763806523638</v>
      </c>
      <c r="AD34" s="77">
        <f t="shared" si="14"/>
        <v>1.5765763806523638</v>
      </c>
      <c r="AE34" s="77">
        <f t="shared" si="14"/>
        <v>1.5765763806523638</v>
      </c>
      <c r="AF34" s="77">
        <f t="shared" si="14"/>
        <v>1.5765763806523638</v>
      </c>
      <c r="AG34" s="77">
        <v>0</v>
      </c>
      <c r="AH34" s="77">
        <f t="shared" si="14"/>
        <v>1.6151470566316266</v>
      </c>
      <c r="AI34" s="77">
        <f t="shared" si="14"/>
        <v>1.6151470566316266</v>
      </c>
      <c r="AJ34" s="77">
        <f t="shared" si="14"/>
        <v>1.5765763806523638</v>
      </c>
      <c r="AK34" s="47">
        <f t="shared" si="6"/>
        <v>0</v>
      </c>
      <c r="AL34" s="47">
        <f t="shared" si="6"/>
        <v>0</v>
      </c>
      <c r="AM34" s="47">
        <f t="shared" si="6"/>
        <v>0</v>
      </c>
      <c r="AN34" s="47">
        <f t="shared" si="6"/>
        <v>0.82444819905674083</v>
      </c>
      <c r="AO34" s="47">
        <f t="shared" si="6"/>
        <v>0.82444819905674083</v>
      </c>
      <c r="AP34" s="47">
        <f t="shared" si="6"/>
        <v>0.82444819905674083</v>
      </c>
      <c r="AQ34" s="47">
        <f t="shared" si="6"/>
        <v>0.82444819905674083</v>
      </c>
      <c r="AR34" s="47">
        <f t="shared" si="6"/>
        <v>0.73284284360599183</v>
      </c>
      <c r="AS34" s="47">
        <f t="shared" si="6"/>
        <v>0.73284284360599183</v>
      </c>
      <c r="AT34" s="47">
        <f t="shared" si="6"/>
        <v>0.73284284360599183</v>
      </c>
      <c r="AU34" s="77">
        <f>(1/9.5*AU11+1/9.5*AU12+1/9.5*AU13+1/9.5*AU14+1/9.5*AU15+1/9.5*AU16+1/9.5*AU17+1/9.5*AU18+1/9.5*AU19+0.5/9.5*AU20)*$K20</f>
        <v>1.5958617186419952</v>
      </c>
      <c r="AV34" s="47">
        <f t="shared" si="4"/>
        <v>0.67787963033554244</v>
      </c>
      <c r="AW34" s="47">
        <f t="shared" si="4"/>
        <v>0.67787963033554244</v>
      </c>
      <c r="AX34" s="77">
        <f>(1/9.5*AX11+1/9.5*AX12+1/9.5*AX13+1/9.5*AX14+1/9.5*AX15+1/9.5*AX16+1/9.5*AX17+1/9.5*AX18+1/9.5*AX19+0.5/9.5*AX20)*$K20</f>
        <v>1.5958617186419952</v>
      </c>
      <c r="AY34" s="77">
        <f>(1/9.5*AY11+1/9.5*AY12+1/9.5*AY13+1/9.5*AY14+1/9.5*AY15+1/9.5*AY16+1/9.5*AY17+1/9.5*AY18+1/9.5*AY19+0.5/9.5*AY20)*$K20</f>
        <v>1.5958617186419952</v>
      </c>
      <c r="AZ34" s="2">
        <v>10</v>
      </c>
    </row>
    <row r="35" spans="8:52" x14ac:dyDescent="0.25">
      <c r="T35" s="77">
        <f>(1/10.5*T11+1/10.5*T12+1/10.5*T13+1/10.5*T14+1/10.5*T15+1/10.5*T16+1/10.5*T17+1/10.5*T18+1/10.5*T19+1/10.5*T20+0.5/10.5*T21)*$K21</f>
        <v>6.0082548177076749</v>
      </c>
      <c r="U35" s="77">
        <f t="shared" ref="U35:AJ35" si="15">(1/10.5*U11+1/10.5*U12+1/10.5*U13+1/10.5*U14+1/10.5*U15+1/10.5*U16+1/10.5*U17+1/10.5*U18+1/10.5*U19+1/10.5*U20+0.5/10.5*U21)*$K21</f>
        <v>6.0082548177076749</v>
      </c>
      <c r="V35" s="77">
        <f t="shared" si="15"/>
        <v>6.0082548177076749</v>
      </c>
      <c r="W35" s="77">
        <v>0</v>
      </c>
      <c r="X35" s="77">
        <f t="shared" si="15"/>
        <v>3.7353373060235402</v>
      </c>
      <c r="Y35" s="77">
        <f t="shared" si="15"/>
        <v>3.7353373060235402</v>
      </c>
      <c r="Z35" s="77">
        <f t="shared" si="15"/>
        <v>6.2901670672188859</v>
      </c>
      <c r="AA35" s="77">
        <f t="shared" si="15"/>
        <v>6.2901670672188859</v>
      </c>
      <c r="AB35" s="77">
        <f t="shared" si="15"/>
        <v>6.2901670672188859</v>
      </c>
      <c r="AC35" s="77">
        <f t="shared" si="15"/>
        <v>6.2901670672188859</v>
      </c>
      <c r="AD35" s="77">
        <f t="shared" si="15"/>
        <v>6.2901670672188859</v>
      </c>
      <c r="AE35" s="77">
        <f t="shared" si="15"/>
        <v>6.2901670672188859</v>
      </c>
      <c r="AF35" s="77">
        <f t="shared" si="15"/>
        <v>6.2901670672188859</v>
      </c>
      <c r="AG35" s="77">
        <v>0</v>
      </c>
      <c r="AH35" s="77">
        <f t="shared" si="15"/>
        <v>6.4311231919744918</v>
      </c>
      <c r="AI35" s="77">
        <f t="shared" si="15"/>
        <v>6.4311231919744918</v>
      </c>
      <c r="AJ35" s="77">
        <f t="shared" si="15"/>
        <v>6.2901670672188859</v>
      </c>
      <c r="AK35" s="47">
        <f t="shared" si="6"/>
        <v>0</v>
      </c>
      <c r="AL35" s="47">
        <f t="shared" si="6"/>
        <v>0</v>
      </c>
      <c r="AM35" s="47">
        <f t="shared" si="6"/>
        <v>0</v>
      </c>
      <c r="AN35" s="47">
        <f t="shared" si="6"/>
        <v>3.330088447351176</v>
      </c>
      <c r="AO35" s="47">
        <f t="shared" si="6"/>
        <v>3.330088447351176</v>
      </c>
      <c r="AP35" s="47">
        <f t="shared" si="6"/>
        <v>3.330088447351176</v>
      </c>
      <c r="AQ35" s="47">
        <f t="shared" si="6"/>
        <v>3.330088447351176</v>
      </c>
      <c r="AR35" s="47">
        <f t="shared" si="6"/>
        <v>2.960078619867712</v>
      </c>
      <c r="AS35" s="47">
        <f t="shared" si="6"/>
        <v>2.960078619867712</v>
      </c>
      <c r="AT35" s="47">
        <f t="shared" si="6"/>
        <v>2.960078619867712</v>
      </c>
      <c r="AU35" s="77">
        <f>(1/10.5*AU11+1/10.5*AU12+1/10.5*AU13+1/10.5*AU14+1/10.5*AU15+1/10.5*AU16+1/10.5*AU17+1/10.5*AU18+1/10.5*AU19+1/10.5*AU20+0.5/10.5*AU21)*$K21</f>
        <v>6.3606451295966897</v>
      </c>
      <c r="AV35" s="47">
        <f t="shared" si="4"/>
        <v>2.3680628958941696</v>
      </c>
      <c r="AW35" s="47">
        <f t="shared" si="4"/>
        <v>1.6280432409272416</v>
      </c>
      <c r="AX35" s="77">
        <f>(1/10.5*AX11+1/10.5*AX12+1/10.5*AX13+1/10.5*AX14+1/10.5*AX15+1/10.5*AX16+1/10.5*AX17+1/10.5*AX18+1/10.5*AX19+1/10.5*AX20+0.5/10.5*AX21)*$K21</f>
        <v>6.3606451295966897</v>
      </c>
      <c r="AY35" s="77">
        <f>(1/10.5*AY11+1/10.5*AY12+1/10.5*AY13+1/10.5*AY14+1/10.5*AY15+1/10.5*AY16+1/10.5*AY17+1/10.5*AY18+1/10.5*AY19+1/10.5*AY20+0.5/10.5*AY21)*$K21</f>
        <v>6.3606451295966897</v>
      </c>
      <c r="AZ35" s="58" t="s">
        <v>46</v>
      </c>
    </row>
    <row r="36" spans="8:52" ht="15.75" thickBot="1" x14ac:dyDescent="0.3">
      <c r="T36" s="68">
        <v>1995</v>
      </c>
      <c r="U36" s="68">
        <v>1996</v>
      </c>
      <c r="V36" s="68">
        <v>1997</v>
      </c>
      <c r="W36" s="68">
        <v>1998</v>
      </c>
      <c r="X36" s="68">
        <v>1999</v>
      </c>
      <c r="Y36" s="68">
        <v>2000</v>
      </c>
      <c r="Z36" s="68">
        <v>2001</v>
      </c>
      <c r="AA36" s="68">
        <v>2002</v>
      </c>
      <c r="AB36" s="68">
        <v>2003</v>
      </c>
      <c r="AC36" s="68">
        <v>2004</v>
      </c>
      <c r="AD36" s="68">
        <v>2005</v>
      </c>
      <c r="AE36" s="68">
        <v>2006</v>
      </c>
      <c r="AF36" s="68">
        <v>2007</v>
      </c>
      <c r="AG36" s="68">
        <v>2008</v>
      </c>
      <c r="AH36" s="68">
        <v>2009</v>
      </c>
      <c r="AI36" s="68">
        <v>2010</v>
      </c>
      <c r="AJ36" s="68">
        <v>2011</v>
      </c>
      <c r="AK36" s="151">
        <v>2012</v>
      </c>
      <c r="AL36" s="151">
        <v>2013</v>
      </c>
      <c r="AM36" s="151">
        <v>2014</v>
      </c>
      <c r="AN36" s="151">
        <v>2015</v>
      </c>
      <c r="AO36" s="151">
        <v>2016</v>
      </c>
      <c r="AP36" s="151">
        <v>2017</v>
      </c>
      <c r="AQ36" s="151">
        <v>2018</v>
      </c>
      <c r="AR36" s="151">
        <v>2019</v>
      </c>
      <c r="AS36" s="151">
        <v>2020</v>
      </c>
      <c r="AT36" s="151">
        <v>2021</v>
      </c>
      <c r="AU36" s="151">
        <v>2022</v>
      </c>
      <c r="AV36" s="151">
        <v>2023</v>
      </c>
      <c r="AW36" s="151">
        <v>2024</v>
      </c>
      <c r="AX36" s="151">
        <v>2025</v>
      </c>
      <c r="AY36" s="151" t="s">
        <v>52</v>
      </c>
    </row>
    <row r="37" spans="8:52" ht="15.75" thickBot="1" x14ac:dyDescent="0.3">
      <c r="S37" s="47" t="s">
        <v>51</v>
      </c>
      <c r="T37" s="128">
        <f>SUM(T25:T35)</f>
        <v>91.937973712443608</v>
      </c>
      <c r="U37" s="128">
        <f t="shared" ref="U37:AJ37" si="16">SUM(U25:U35)</f>
        <v>91.937973712443608</v>
      </c>
      <c r="V37" s="128">
        <f t="shared" si="16"/>
        <v>91.937973712443608</v>
      </c>
      <c r="W37" s="128">
        <f t="shared" si="16"/>
        <v>66.979350517270348</v>
      </c>
      <c r="X37" s="128">
        <f t="shared" si="16"/>
        <v>87.272096705108581</v>
      </c>
      <c r="Y37" s="128">
        <f t="shared" si="16"/>
        <v>87.272096705108581</v>
      </c>
      <c r="Z37" s="128">
        <f t="shared" si="16"/>
        <v>96.132101755077116</v>
      </c>
      <c r="AA37" s="128">
        <f t="shared" si="16"/>
        <v>96.132101755077116</v>
      </c>
      <c r="AB37" s="128">
        <f t="shared" si="16"/>
        <v>96.132101755077116</v>
      </c>
      <c r="AC37" s="128">
        <f t="shared" si="16"/>
        <v>96.132101755077116</v>
      </c>
      <c r="AD37" s="128">
        <f t="shared" si="16"/>
        <v>96.132101755077116</v>
      </c>
      <c r="AE37" s="128">
        <f t="shared" si="16"/>
        <v>96.132101755077116</v>
      </c>
      <c r="AF37" s="128">
        <f t="shared" si="16"/>
        <v>96.132101755077116</v>
      </c>
      <c r="AG37" s="128">
        <f t="shared" si="16"/>
        <v>87.68215603757794</v>
      </c>
      <c r="AH37" s="128">
        <f t="shared" si="16"/>
        <v>97.772052760820813</v>
      </c>
      <c r="AI37" s="128">
        <f t="shared" si="16"/>
        <v>97.772052760820813</v>
      </c>
      <c r="AJ37" s="150">
        <f t="shared" si="16"/>
        <v>96.132101755077116</v>
      </c>
      <c r="AK37" s="153">
        <v>97.179829852906238</v>
      </c>
      <c r="AL37" s="154">
        <v>97.179829852906238</v>
      </c>
      <c r="AM37" s="154">
        <v>97.179829852906238</v>
      </c>
      <c r="AN37" s="154">
        <v>97.179829852906238</v>
      </c>
      <c r="AO37" s="154">
        <v>97.179829852906238</v>
      </c>
      <c r="AP37" s="154">
        <v>97.179829852906238</v>
      </c>
      <c r="AQ37" s="154">
        <v>97.179829852906238</v>
      </c>
      <c r="AR37" s="154">
        <v>97.179829852906238</v>
      </c>
      <c r="AS37" s="154">
        <v>97.179829852906238</v>
      </c>
      <c r="AT37" s="154">
        <v>97.179829852906238</v>
      </c>
      <c r="AU37" s="154">
        <v>97.179829852906238</v>
      </c>
      <c r="AV37" s="154">
        <v>97.179829852906238</v>
      </c>
      <c r="AW37" s="154">
        <v>97.179829852906238</v>
      </c>
      <c r="AX37" s="154">
        <v>97.179829852906238</v>
      </c>
      <c r="AY37" s="155">
        <v>97.179829852906238</v>
      </c>
    </row>
    <row r="38" spans="8:52" x14ac:dyDescent="0.25">
      <c r="P38" s="76" t="s">
        <v>84</v>
      </c>
      <c r="S38" s="47" t="s">
        <v>53</v>
      </c>
      <c r="T38" s="138">
        <v>5.4</v>
      </c>
      <c r="U38" s="138">
        <v>3.9</v>
      </c>
      <c r="V38" s="138">
        <v>1.7</v>
      </c>
      <c r="W38" s="138">
        <v>1.8</v>
      </c>
      <c r="X38" s="138">
        <v>1.6</v>
      </c>
      <c r="Y38" s="138">
        <v>2.6</v>
      </c>
      <c r="Z38" s="138">
        <v>2.7</v>
      </c>
      <c r="AA38" s="138">
        <v>2.4</v>
      </c>
      <c r="AB38" s="138">
        <v>2.5</v>
      </c>
      <c r="AC38" s="138">
        <v>2</v>
      </c>
      <c r="AD38" s="138">
        <v>1.7</v>
      </c>
      <c r="AE38" s="138">
        <v>2</v>
      </c>
      <c r="AF38" s="138">
        <v>1.7</v>
      </c>
      <c r="AG38" s="138">
        <v>3.2</v>
      </c>
      <c r="AH38" s="138">
        <v>0.7</v>
      </c>
      <c r="AI38" s="138">
        <v>1.6</v>
      </c>
      <c r="AJ38" s="138">
        <v>2.7</v>
      </c>
      <c r="AK38" s="152">
        <v>3</v>
      </c>
      <c r="AL38" s="152">
        <v>1.1000000000000001</v>
      </c>
      <c r="AM38" s="152">
        <v>0.2</v>
      </c>
      <c r="AN38" s="152">
        <v>-0.1</v>
      </c>
      <c r="AO38" s="152">
        <v>-0.1</v>
      </c>
      <c r="AP38" s="152">
        <v>1.1000000000000001</v>
      </c>
      <c r="AQ38" s="152">
        <v>1.1000000000000001</v>
      </c>
      <c r="AR38" s="152">
        <v>0.5</v>
      </c>
      <c r="AS38" s="152">
        <v>-0.3</v>
      </c>
      <c r="AT38" s="152">
        <v>1.9</v>
      </c>
      <c r="AU38" s="152">
        <v>8.1</v>
      </c>
      <c r="AV38" s="152">
        <v>5.4</v>
      </c>
      <c r="AW38" s="152">
        <v>0.8</v>
      </c>
      <c r="AX38" s="152"/>
      <c r="AY38" s="152"/>
    </row>
    <row r="39" spans="8:52" x14ac:dyDescent="0.25">
      <c r="S39" s="47" t="s">
        <v>88</v>
      </c>
      <c r="T39" s="148">
        <v>124935</v>
      </c>
      <c r="U39" s="148">
        <v>137230</v>
      </c>
      <c r="V39" s="148">
        <v>148647</v>
      </c>
      <c r="W39" s="148">
        <v>150592</v>
      </c>
      <c r="X39" s="148">
        <v>159184</v>
      </c>
      <c r="Y39" s="148">
        <v>163359</v>
      </c>
      <c r="Z39" s="148">
        <v>171078</v>
      </c>
      <c r="AA39" s="148">
        <v>179289</v>
      </c>
      <c r="AB39" s="148">
        <v>186660</v>
      </c>
      <c r="AC39" s="148">
        <v>194099</v>
      </c>
      <c r="AD39" s="148">
        <v>201036</v>
      </c>
      <c r="AE39" s="148">
        <v>207732</v>
      </c>
      <c r="AF39" s="148">
        <v>215679</v>
      </c>
      <c r="AG39" s="148">
        <v>224169</v>
      </c>
      <c r="AH39" s="148">
        <v>233048</v>
      </c>
      <c r="AI39" s="148">
        <v>238613</v>
      </c>
      <c r="AJ39" s="148">
        <v>244990</v>
      </c>
      <c r="AK39" s="148">
        <v>250444</v>
      </c>
      <c r="AL39" s="148">
        <v>255633</v>
      </c>
      <c r="AM39" s="148">
        <v>257343</v>
      </c>
      <c r="AN39" s="148">
        <v>259353</v>
      </c>
      <c r="AO39" s="148">
        <v>261173</v>
      </c>
      <c r="AP39" s="148">
        <v>263815</v>
      </c>
      <c r="AQ39" s="148">
        <v>268693</v>
      </c>
      <c r="AR39" s="148">
        <v>275050</v>
      </c>
      <c r="AS39" s="148">
        <v>281376</v>
      </c>
      <c r="AT39" s="148">
        <v>286212</v>
      </c>
      <c r="AU39" s="148">
        <v>296798</v>
      </c>
      <c r="AV39" s="148">
        <v>318436</v>
      </c>
      <c r="AW39" s="148">
        <v>335922</v>
      </c>
      <c r="AX39" s="149"/>
      <c r="AY39" s="149"/>
    </row>
    <row r="40" spans="8:52" x14ac:dyDescent="0.25">
      <c r="S40" s="82" t="s">
        <v>79</v>
      </c>
      <c r="T40" s="87">
        <f>T39*98.5%</f>
        <v>123060.97499999999</v>
      </c>
      <c r="U40" s="87">
        <f t="shared" ref="U40:AJ40" si="17">U39*98.5%</f>
        <v>135171.54999999999</v>
      </c>
      <c r="V40" s="87">
        <f t="shared" si="17"/>
        <v>146417.29499999998</v>
      </c>
      <c r="W40" s="87">
        <f t="shared" si="17"/>
        <v>148333.12</v>
      </c>
      <c r="X40" s="87">
        <f t="shared" si="17"/>
        <v>156796.24</v>
      </c>
      <c r="Y40" s="87">
        <f t="shared" si="17"/>
        <v>160908.61499999999</v>
      </c>
      <c r="Z40" s="87">
        <f t="shared" si="17"/>
        <v>168511.83</v>
      </c>
      <c r="AA40" s="87">
        <f t="shared" si="17"/>
        <v>176599.66500000001</v>
      </c>
      <c r="AB40" s="87">
        <f t="shared" si="17"/>
        <v>183860.1</v>
      </c>
      <c r="AC40" s="87">
        <f t="shared" si="17"/>
        <v>191187.51499999998</v>
      </c>
      <c r="AD40" s="87">
        <f t="shared" si="17"/>
        <v>198020.46</v>
      </c>
      <c r="AE40" s="87">
        <f t="shared" si="17"/>
        <v>204616.02</v>
      </c>
      <c r="AF40" s="87">
        <f t="shared" si="17"/>
        <v>212443.815</v>
      </c>
      <c r="AG40" s="87">
        <f t="shared" si="17"/>
        <v>220806.465</v>
      </c>
      <c r="AH40" s="87">
        <f t="shared" si="17"/>
        <v>229552.28</v>
      </c>
      <c r="AI40" s="87">
        <f t="shared" si="17"/>
        <v>235033.80499999999</v>
      </c>
      <c r="AJ40" s="87">
        <f t="shared" si="17"/>
        <v>241315.15</v>
      </c>
      <c r="AK40" s="87">
        <f>(AJ40)*(1-2.5%)*(1+AJ38%*AK37%)+'Elab. elasticità'!AK40-'Elab. elasticità'!AJ40*(1-2.5%)*(1+AJ38%*'Elab. elasticità'!AK37%)</f>
        <v>249886.74928686846</v>
      </c>
      <c r="AL40" s="87">
        <f>(AK40)*(1-2.5%)*(1+AK38%*AL37%)+'Elab. elasticità'!AL40-'Elab. elasticità'!AK40*(1-2.5%)*(1+AK38%*'Elab. elasticità'!AL37%)</f>
        <v>258642.91143147976</v>
      </c>
      <c r="AM40" s="87">
        <f>(AL40)*(1-2.5%)*(1+AL38%*AM37%)+'Elab. elasticità'!AM40-'Elab. elasticità'!AL40*(1-2.5%)*(1+AL38%*'Elab. elasticità'!AM37%)</f>
        <v>260901.13267106566</v>
      </c>
      <c r="AN40" s="87">
        <f>(AM40)*(1-2.5%)*(1+AM38%*AN37%)+'Elab. elasticità'!AN40-'Elab. elasticità'!AM40*(1-2.5%)*(1+AM38%*'Elab. elasticità'!AN37%)</f>
        <v>262798.51563787105</v>
      </c>
      <c r="AO40" s="87">
        <f>(AN40)*(1-2.5%)*(1+AN38%*AO37%)+'Elab. elasticità'!AO40-'Elab. elasticità'!AN40*(1-2.5%)*(1+AN38%*'Elab. elasticità'!AO37%)</f>
        <v>264356.05624897208</v>
      </c>
      <c r="AP40" s="87">
        <f>(AO40)*(1-2.5%)*(1+AO38%*AP37%)+'Elab. elasticità'!AP40-'Elab. elasticità'!AO40*(1-2.5%)*(1+AO38%*'Elab. elasticità'!AP37%)</f>
        <v>266729.05418261449</v>
      </c>
      <c r="AQ40" s="87">
        <f>(AP40)*(1-2.5%)*(1+AP38%*AQ37%)+'Elab. elasticità'!AQ40-'Elab. elasticità'!AP40*(1-2.5%)*(1+AP38%*'Elab. elasticità'!AQ37%)</f>
        <v>271935.1468027482</v>
      </c>
      <c r="AR40" s="87">
        <f>(AQ40)*(1-2.5%)*(1+AQ38%*AR37%)+'Elab. elasticità'!AR40-'Elab. elasticità'!AQ40*(1-2.5%)*(1+AQ38%*'Elab. elasticità'!AR37%)</f>
        <v>278584.15571734938</v>
      </c>
      <c r="AS40" s="87">
        <f>(AR40)*(1-2.5%)*(1+AR38%*AS37%)+'Elab. elasticità'!AS40-'Elab. elasticità'!AR40*(1-2.5%)*(1+AR38%*'Elab. elasticità'!AS37%)</f>
        <v>284881.89836322132</v>
      </c>
      <c r="AT40" s="87">
        <f>(AS40)*(1-2.5%)*(1+AS38%*AT37%)+'Elab. elasticità'!AT40-'Elab. elasticità'!AS40*(1-2.5%)*(1+AS38%*'Elab. elasticità'!AT37%)</f>
        <v>289294.06598874938</v>
      </c>
      <c r="AU40" s="87">
        <f>(AT40)*(1-2.5%)*(1+AT38%*AU37%)+'Elab. elasticità'!AU40-'Elab. elasticità'!AT40*(1-2.5%)*(1+AT38%*'Elab. elasticità'!AU37%)</f>
        <v>299669.66817312554</v>
      </c>
      <c r="AV40" s="87">
        <f>(AU40)*(1-2.5%)*(1+AU38%*AV37%)+'Elab. elasticità'!AV40-'Elab. elasticità'!AU40*(1-2.5%)*(1+AU38%*'Elab. elasticità'!AV37%)</f>
        <v>325115.9458653935</v>
      </c>
      <c r="AW40" s="87">
        <f>(AV40)*(1-2.5%)*(1+AV38%*AW37%)+'Elab. elasticità'!AW40-'Elab. elasticità'!AV40*(1-2.5%)*(1+AV38%*'Elab. elasticità'!AW37%)</f>
        <v>345446.65205308871</v>
      </c>
      <c r="AX40" s="87"/>
      <c r="AY40" s="87"/>
    </row>
    <row r="41" spans="8:52" x14ac:dyDescent="0.25">
      <c r="S41" s="47" t="s">
        <v>87</v>
      </c>
      <c r="T41" s="47" t="s">
        <v>50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87">
        <v>272660</v>
      </c>
      <c r="AS41" s="87">
        <v>278468</v>
      </c>
      <c r="AT41" s="87">
        <v>283411</v>
      </c>
      <c r="AU41" s="87">
        <v>292103</v>
      </c>
      <c r="AV41" s="87">
        <v>314894</v>
      </c>
      <c r="AW41" s="47"/>
      <c r="AX41" s="47"/>
      <c r="AY41" s="47"/>
    </row>
    <row r="42" spans="8:52" x14ac:dyDescent="0.25">
      <c r="P42" s="2" t="s">
        <v>83</v>
      </c>
      <c r="Q42" s="75">
        <v>2.5000000000000001E-2</v>
      </c>
      <c r="S42" s="82" t="s">
        <v>80</v>
      </c>
      <c r="T42" s="87">
        <f>(T40+(T40*(1-2.5%)))/2</f>
        <v>121522.71281249999</v>
      </c>
      <c r="U42" s="87">
        <f t="shared" ref="U42:AT42" si="18">(U40+(U40*(1-2.5%)))/2</f>
        <v>133481.90562499998</v>
      </c>
      <c r="V42" s="87">
        <f t="shared" si="18"/>
        <v>144587.0788125</v>
      </c>
      <c r="W42" s="87">
        <f t="shared" si="18"/>
        <v>146478.95600000001</v>
      </c>
      <c r="X42" s="87">
        <f t="shared" si="18"/>
        <v>154836.28699999998</v>
      </c>
      <c r="Y42" s="87">
        <f>(Y40+(Y40*(1-2.5%)))/2</f>
        <v>158897.25731249998</v>
      </c>
      <c r="Z42" s="87">
        <f t="shared" si="18"/>
        <v>166405.43212499999</v>
      </c>
      <c r="AA42" s="87">
        <f t="shared" si="18"/>
        <v>174392.16918750003</v>
      </c>
      <c r="AB42" s="87">
        <f t="shared" si="18"/>
        <v>181561.84875</v>
      </c>
      <c r="AC42" s="87">
        <f t="shared" si="18"/>
        <v>188797.67106249998</v>
      </c>
      <c r="AD42" s="87">
        <f t="shared" si="18"/>
        <v>195545.20425000001</v>
      </c>
      <c r="AE42" s="87">
        <f t="shared" si="18"/>
        <v>202058.31974999997</v>
      </c>
      <c r="AF42" s="87">
        <f t="shared" si="18"/>
        <v>209788.26731249999</v>
      </c>
      <c r="AG42" s="87">
        <f t="shared" si="18"/>
        <v>218046.38418749999</v>
      </c>
      <c r="AH42" s="87">
        <f t="shared" si="18"/>
        <v>226682.87650000001</v>
      </c>
      <c r="AI42" s="87">
        <f>(AI40+(AI40*(1-2.5%)))/2</f>
        <v>232095.8824375</v>
      </c>
      <c r="AJ42" s="87">
        <f t="shared" si="18"/>
        <v>238298.71062500001</v>
      </c>
      <c r="AK42" s="87">
        <f t="shared" si="18"/>
        <v>246763.16492078261</v>
      </c>
      <c r="AL42" s="87">
        <f t="shared" si="18"/>
        <v>255409.87503858627</v>
      </c>
      <c r="AM42" s="87">
        <f t="shared" si="18"/>
        <v>257639.86851267732</v>
      </c>
      <c r="AN42" s="87">
        <f t="shared" si="18"/>
        <v>259513.53419239767</v>
      </c>
      <c r="AO42" s="87">
        <f t="shared" si="18"/>
        <v>261051.6055458599</v>
      </c>
      <c r="AP42" s="87">
        <f t="shared" si="18"/>
        <v>263394.94100533181</v>
      </c>
      <c r="AQ42" s="87">
        <f t="shared" si="18"/>
        <v>268535.95746771386</v>
      </c>
      <c r="AR42" s="87">
        <f>(AR40+(AR40*(1-2.5%)))/2</f>
        <v>275101.85377088247</v>
      </c>
      <c r="AS42" s="87">
        <f t="shared" si="18"/>
        <v>281320.87463368103</v>
      </c>
      <c r="AT42" s="87">
        <f t="shared" si="18"/>
        <v>285677.89016388997</v>
      </c>
      <c r="AU42" s="87">
        <f>(AU40+(AU40*(1-2.5%)))/2</f>
        <v>295923.79732096149</v>
      </c>
      <c r="AV42" s="87">
        <f>(AV40+(AV40*(1-2.5%)))/2</f>
        <v>321051.99654207611</v>
      </c>
      <c r="AW42" s="87">
        <f>(AW40+(AW40*(1-2.5%)))/2</f>
        <v>341128.56890242512</v>
      </c>
      <c r="AX42" s="82"/>
      <c r="AY42" s="82"/>
      <c r="AZ42" s="2" t="s">
        <v>163</v>
      </c>
    </row>
    <row r="44" spans="8:52" x14ac:dyDescent="0.25">
      <c r="H44" s="183" t="s">
        <v>50</v>
      </c>
      <c r="I44" s="184"/>
      <c r="J44" s="184"/>
      <c r="K44" s="184"/>
      <c r="L44" s="184"/>
      <c r="M44" s="184"/>
      <c r="T44" s="68">
        <v>1995</v>
      </c>
      <c r="U44" s="68">
        <v>1996</v>
      </c>
      <c r="V44" s="68">
        <v>1997</v>
      </c>
      <c r="W44" s="68">
        <v>1998</v>
      </c>
      <c r="X44" s="68">
        <v>1999</v>
      </c>
      <c r="Y44" s="68">
        <v>2000</v>
      </c>
      <c r="Z44" s="68">
        <v>2001</v>
      </c>
      <c r="AA44" s="68">
        <v>2002</v>
      </c>
      <c r="AB44" s="68">
        <v>2003</v>
      </c>
      <c r="AC44" s="68">
        <v>2004</v>
      </c>
      <c r="AD44" s="68">
        <v>2005</v>
      </c>
      <c r="AE44" s="68">
        <v>2006</v>
      </c>
      <c r="AF44" s="68">
        <v>2007</v>
      </c>
      <c r="AG44" s="68">
        <v>2008</v>
      </c>
      <c r="AH44" s="68">
        <v>2009</v>
      </c>
      <c r="AI44" s="68">
        <v>2010</v>
      </c>
      <c r="AJ44" s="86">
        <v>2011</v>
      </c>
      <c r="AK44" s="68">
        <v>2012</v>
      </c>
      <c r="AL44" s="68">
        <v>2013</v>
      </c>
      <c r="AM44" s="68">
        <v>2014</v>
      </c>
      <c r="AN44" s="68">
        <v>2015</v>
      </c>
      <c r="AO44" s="68">
        <v>2016</v>
      </c>
      <c r="AP44" s="68">
        <v>2017</v>
      </c>
      <c r="AQ44" s="68">
        <v>2018</v>
      </c>
      <c r="AR44" s="68">
        <v>2019</v>
      </c>
      <c r="AS44" s="68">
        <v>2020</v>
      </c>
      <c r="AT44" s="99">
        <v>2021</v>
      </c>
      <c r="AU44" s="90">
        <v>2022</v>
      </c>
      <c r="AV44" s="68">
        <v>2023</v>
      </c>
      <c r="AW44" s="68">
        <v>2024</v>
      </c>
      <c r="AX44" s="68">
        <v>2025</v>
      </c>
      <c r="AY44" s="68" t="s">
        <v>52</v>
      </c>
    </row>
    <row r="45" spans="8:52" x14ac:dyDescent="0.25">
      <c r="S45" s="83" t="s">
        <v>85</v>
      </c>
      <c r="T45" s="100" t="s">
        <v>50</v>
      </c>
      <c r="U45" s="100">
        <f>T42*T38%*U37%</f>
        <v>6033.1780670510479</v>
      </c>
      <c r="V45" s="100">
        <f t="shared" ref="V45:AQ45" si="19">U42*U38%*V37%</f>
        <v>4786.1018128708702</v>
      </c>
      <c r="W45" s="100">
        <f t="shared" si="19"/>
        <v>1646.3392674486072</v>
      </c>
      <c r="X45" s="100">
        <f t="shared" si="19"/>
        <v>2301.0346103931624</v>
      </c>
      <c r="Y45" s="100">
        <f t="shared" si="19"/>
        <v>2162.0619860038314</v>
      </c>
      <c r="Z45" s="100">
        <f t="shared" si="19"/>
        <v>3971.5331002276589</v>
      </c>
      <c r="AA45" s="100">
        <f t="shared" si="19"/>
        <v>4319.1640620822818</v>
      </c>
      <c r="AB45" s="100">
        <f t="shared" si="19"/>
        <v>4023.5245808691307</v>
      </c>
      <c r="AC45" s="100">
        <f t="shared" si="19"/>
        <v>4363.4805297187304</v>
      </c>
      <c r="AD45" s="100">
        <f t="shared" si="19"/>
        <v>3629.9033851403656</v>
      </c>
      <c r="AE45" s="100">
        <f t="shared" si="19"/>
        <v>3195.6891503553179</v>
      </c>
      <c r="AF45" s="100">
        <f t="shared" si="19"/>
        <v>3884.8581909333807</v>
      </c>
      <c r="AG45" s="100">
        <f t="shared" si="19"/>
        <v>3127.0968901891156</v>
      </c>
      <c r="AH45" s="100">
        <f t="shared" si="19"/>
        <v>6822.0296253076658</v>
      </c>
      <c r="AI45" s="100">
        <f t="shared" si="19"/>
        <v>1551.4275112792839</v>
      </c>
      <c r="AJ45" s="101">
        <f>AI42*AI38%*AJ37%</f>
        <v>3569.8983979865866</v>
      </c>
      <c r="AK45" s="100">
        <f t="shared" si="19"/>
        <v>6252.6136012302004</v>
      </c>
      <c r="AL45" s="100">
        <f t="shared" si="19"/>
        <v>7194.1207142898893</v>
      </c>
      <c r="AM45" s="100">
        <f t="shared" si="19"/>
        <v>2730.2757018902048</v>
      </c>
      <c r="AN45" s="100">
        <f t="shared" si="19"/>
        <v>500.74797170774235</v>
      </c>
      <c r="AO45" s="100">
        <f t="shared" si="19"/>
        <v>-252.19481097343572</v>
      </c>
      <c r="AP45" s="100">
        <f>AO42*AO38%*AP37%</f>
        <v>-253.6895060977466</v>
      </c>
      <c r="AQ45" s="100">
        <f t="shared" si="19"/>
        <v>2815.6343106115869</v>
      </c>
      <c r="AR45" s="100">
        <f t="shared" ref="AR45:AX45" si="20">AQ42*AQ38%*AR37%</f>
        <v>2870.5906521709676</v>
      </c>
      <c r="AS45" s="100">
        <f t="shared" si="20"/>
        <v>1336.7175670836725</v>
      </c>
      <c r="AT45" s="100">
        <f t="shared" si="20"/>
        <v>-820.16144192915669</v>
      </c>
      <c r="AU45" s="100">
        <f t="shared" si="20"/>
        <v>5274.8044641841725</v>
      </c>
      <c r="AV45" s="100">
        <f>AU42*AU38%*AV37%</f>
        <v>23293.83766119233</v>
      </c>
      <c r="AW45" s="100">
        <f t="shared" si="20"/>
        <v>16847.880334863195</v>
      </c>
      <c r="AX45" s="100">
        <f t="shared" si="20"/>
        <v>2652.0653027122462</v>
      </c>
      <c r="AY45" s="100"/>
    </row>
    <row r="46" spans="8:52" x14ac:dyDescent="0.25">
      <c r="S46" s="83" t="s">
        <v>85</v>
      </c>
      <c r="T46" s="100" t="s">
        <v>50</v>
      </c>
      <c r="U46" s="100">
        <f>U45</f>
        <v>6033.1780670510479</v>
      </c>
      <c r="V46" s="100">
        <f t="shared" ref="V46:AN46" si="21">V45</f>
        <v>4786.1018128708702</v>
      </c>
      <c r="W46" s="100">
        <f t="shared" si="21"/>
        <v>1646.3392674486072</v>
      </c>
      <c r="X46" s="100">
        <f t="shared" si="21"/>
        <v>2301.0346103931624</v>
      </c>
      <c r="Y46" s="100">
        <f t="shared" si="21"/>
        <v>2162.0619860038314</v>
      </c>
      <c r="Z46" s="100">
        <f t="shared" si="21"/>
        <v>3971.5331002276589</v>
      </c>
      <c r="AA46" s="100">
        <f t="shared" si="21"/>
        <v>4319.1640620822818</v>
      </c>
      <c r="AB46" s="100">
        <f t="shared" si="21"/>
        <v>4023.5245808691307</v>
      </c>
      <c r="AC46" s="100">
        <f t="shared" si="21"/>
        <v>4363.4805297187304</v>
      </c>
      <c r="AD46" s="100">
        <f t="shared" si="21"/>
        <v>3629.9033851403656</v>
      </c>
      <c r="AE46" s="100">
        <f t="shared" si="21"/>
        <v>3195.6891503553179</v>
      </c>
      <c r="AF46" s="100">
        <f t="shared" si="21"/>
        <v>3884.8581909333807</v>
      </c>
      <c r="AG46" s="100">
        <f t="shared" si="21"/>
        <v>3127.0968901891156</v>
      </c>
      <c r="AH46" s="100">
        <f t="shared" si="21"/>
        <v>6822.0296253076658</v>
      </c>
      <c r="AI46" s="100">
        <f t="shared" si="21"/>
        <v>1551.4275112792839</v>
      </c>
      <c r="AJ46" s="101">
        <f t="shared" si="21"/>
        <v>3569.8983979865866</v>
      </c>
      <c r="AK46" s="100">
        <f t="shared" si="21"/>
        <v>6252.6136012302004</v>
      </c>
      <c r="AL46" s="100">
        <f t="shared" si="21"/>
        <v>7194.1207142898893</v>
      </c>
      <c r="AM46" s="100">
        <f t="shared" si="21"/>
        <v>2730.2757018902048</v>
      </c>
      <c r="AN46" s="100">
        <f t="shared" si="21"/>
        <v>500.74797170774235</v>
      </c>
      <c r="AO46" s="100">
        <v>0</v>
      </c>
      <c r="AP46" s="100">
        <v>0</v>
      </c>
      <c r="AQ46" s="100">
        <f>AQ45</f>
        <v>2815.6343106115869</v>
      </c>
      <c r="AR46" s="100">
        <f>AR45</f>
        <v>2870.5906521709676</v>
      </c>
      <c r="AS46" s="100">
        <f>AS45</f>
        <v>1336.7175670836725</v>
      </c>
      <c r="AT46" s="100">
        <v>0</v>
      </c>
      <c r="AU46" s="100">
        <f>AU45</f>
        <v>5274.8044641841725</v>
      </c>
      <c r="AV46" s="100">
        <f>AV45</f>
        <v>23293.83766119233</v>
      </c>
      <c r="AW46" s="100">
        <f>AW45</f>
        <v>16847.880334863195</v>
      </c>
      <c r="AX46" s="100">
        <f>AX45</f>
        <v>2652.0653027122462</v>
      </c>
      <c r="AY46" s="100"/>
    </row>
    <row r="48" spans="8:52" x14ac:dyDescent="0.25">
      <c r="T48" s="47">
        <v>1995</v>
      </c>
      <c r="U48" s="47">
        <v>1996</v>
      </c>
      <c r="V48" s="47">
        <v>1997</v>
      </c>
      <c r="W48" s="47">
        <v>1998</v>
      </c>
      <c r="X48" s="47">
        <v>1999</v>
      </c>
      <c r="Y48" s="47">
        <v>2000</v>
      </c>
      <c r="Z48" s="47">
        <v>2001</v>
      </c>
      <c r="AA48" s="47">
        <v>2002</v>
      </c>
      <c r="AB48" s="47">
        <v>2003</v>
      </c>
      <c r="AC48" s="47">
        <v>2004</v>
      </c>
      <c r="AD48" s="47">
        <v>2005</v>
      </c>
      <c r="AE48" s="47">
        <v>2006</v>
      </c>
      <c r="AF48" s="47">
        <v>2007</v>
      </c>
      <c r="AG48" s="47">
        <v>2008</v>
      </c>
      <c r="AH48" s="47">
        <v>2009</v>
      </c>
      <c r="AI48" s="47">
        <v>2010</v>
      </c>
      <c r="AJ48" s="47">
        <v>2011</v>
      </c>
      <c r="AK48" s="47">
        <v>2012</v>
      </c>
      <c r="AL48" s="47">
        <v>2013</v>
      </c>
      <c r="AM48" s="47">
        <v>2014</v>
      </c>
      <c r="AN48" s="47">
        <v>2015</v>
      </c>
      <c r="AO48" s="47">
        <v>2016</v>
      </c>
      <c r="AP48" s="47">
        <v>2017</v>
      </c>
      <c r="AQ48" s="47">
        <v>2018</v>
      </c>
      <c r="AR48" s="47">
        <v>2019</v>
      </c>
      <c r="AS48" s="47">
        <v>2020</v>
      </c>
      <c r="AT48" s="47">
        <v>2021</v>
      </c>
      <c r="AU48" s="47">
        <v>2022</v>
      </c>
      <c r="AV48" s="47">
        <v>2023</v>
      </c>
      <c r="AW48" s="47">
        <v>2024</v>
      </c>
      <c r="AX48" s="47">
        <v>2025</v>
      </c>
      <c r="AY48" s="47" t="s">
        <v>52</v>
      </c>
    </row>
    <row r="49" spans="19:51" x14ac:dyDescent="0.25">
      <c r="S49" s="47" t="s">
        <v>89</v>
      </c>
      <c r="T49" s="142">
        <f>T40</f>
        <v>123060.97499999999</v>
      </c>
      <c r="U49" s="142">
        <f t="shared" ref="U49:AV50" si="22">U40</f>
        <v>135171.54999999999</v>
      </c>
      <c r="V49" s="142">
        <f t="shared" si="22"/>
        <v>146417.29499999998</v>
      </c>
      <c r="W49" s="142">
        <f t="shared" si="22"/>
        <v>148333.12</v>
      </c>
      <c r="X49" s="142">
        <f t="shared" si="22"/>
        <v>156796.24</v>
      </c>
      <c r="Y49" s="142">
        <f t="shared" si="22"/>
        <v>160908.61499999999</v>
      </c>
      <c r="Z49" s="142">
        <f t="shared" si="22"/>
        <v>168511.83</v>
      </c>
      <c r="AA49" s="142">
        <f t="shared" si="22"/>
        <v>176599.66500000001</v>
      </c>
      <c r="AB49" s="142">
        <f t="shared" si="22"/>
        <v>183860.1</v>
      </c>
      <c r="AC49" s="142">
        <f t="shared" si="22"/>
        <v>191187.51499999998</v>
      </c>
      <c r="AD49" s="142">
        <f t="shared" si="22"/>
        <v>198020.46</v>
      </c>
      <c r="AE49" s="142">
        <f t="shared" si="22"/>
        <v>204616.02</v>
      </c>
      <c r="AF49" s="142">
        <f t="shared" si="22"/>
        <v>212443.815</v>
      </c>
      <c r="AG49" s="142">
        <f t="shared" si="22"/>
        <v>220806.465</v>
      </c>
      <c r="AH49" s="142">
        <f t="shared" si="22"/>
        <v>229552.28</v>
      </c>
      <c r="AI49" s="142">
        <f t="shared" si="22"/>
        <v>235033.80499999999</v>
      </c>
      <c r="AJ49" s="142">
        <f t="shared" si="22"/>
        <v>241315.15</v>
      </c>
      <c r="AK49" s="142">
        <f t="shared" si="22"/>
        <v>249886.74928686846</v>
      </c>
      <c r="AL49" s="142">
        <f t="shared" si="22"/>
        <v>258642.91143147976</v>
      </c>
      <c r="AM49" s="142">
        <f t="shared" si="22"/>
        <v>260901.13267106566</v>
      </c>
      <c r="AN49" s="142">
        <f t="shared" si="22"/>
        <v>262798.51563787105</v>
      </c>
      <c r="AO49" s="142">
        <f t="shared" si="22"/>
        <v>264356.05624897208</v>
      </c>
      <c r="AP49" s="142">
        <f t="shared" si="22"/>
        <v>266729.05418261449</v>
      </c>
      <c r="AQ49" s="142">
        <f t="shared" si="22"/>
        <v>271935.1468027482</v>
      </c>
      <c r="AR49" s="142">
        <f t="shared" si="22"/>
        <v>278584.15571734938</v>
      </c>
      <c r="AS49" s="142">
        <f t="shared" si="22"/>
        <v>284881.89836322132</v>
      </c>
      <c r="AT49" s="142">
        <f t="shared" si="22"/>
        <v>289294.06598874938</v>
      </c>
      <c r="AU49" s="142">
        <f t="shared" si="22"/>
        <v>299669.66817312554</v>
      </c>
      <c r="AV49" s="142">
        <f t="shared" si="22"/>
        <v>325115.9458653935</v>
      </c>
      <c r="AW49" s="142">
        <f>AW40</f>
        <v>345446.65205308871</v>
      </c>
      <c r="AX49" s="142"/>
      <c r="AY49" s="142"/>
    </row>
    <row r="50" spans="19:51" x14ac:dyDescent="0.25">
      <c r="S50" s="47" t="s">
        <v>87</v>
      </c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>
        <f t="shared" si="22"/>
        <v>272660</v>
      </c>
      <c r="AS50" s="142">
        <f t="shared" si="22"/>
        <v>278468</v>
      </c>
      <c r="AT50" s="142">
        <f t="shared" si="22"/>
        <v>283411</v>
      </c>
      <c r="AU50" s="142">
        <f>AU41</f>
        <v>292103</v>
      </c>
      <c r="AV50" s="142">
        <f t="shared" si="22"/>
        <v>314894</v>
      </c>
      <c r="AW50" s="142"/>
      <c r="AX50" s="142"/>
      <c r="AY50" s="142"/>
    </row>
    <row r="51" spans="19:51" x14ac:dyDescent="0.25">
      <c r="S51" s="47" t="s">
        <v>90</v>
      </c>
      <c r="T51" s="142"/>
      <c r="U51" s="142">
        <f>U46</f>
        <v>6033.1780670510479</v>
      </c>
      <c r="V51" s="142">
        <f>V46</f>
        <v>4786.1018128708702</v>
      </c>
      <c r="W51" s="142">
        <f t="shared" ref="W51:AX51" si="23">W46</f>
        <v>1646.3392674486072</v>
      </c>
      <c r="X51" s="142">
        <f t="shared" si="23"/>
        <v>2301.0346103931624</v>
      </c>
      <c r="Y51" s="142">
        <f t="shared" si="23"/>
        <v>2162.0619860038314</v>
      </c>
      <c r="Z51" s="142">
        <f t="shared" si="23"/>
        <v>3971.5331002276589</v>
      </c>
      <c r="AA51" s="142">
        <f t="shared" si="23"/>
        <v>4319.1640620822818</v>
      </c>
      <c r="AB51" s="142">
        <f t="shared" si="23"/>
        <v>4023.5245808691307</v>
      </c>
      <c r="AC51" s="142">
        <f t="shared" si="23"/>
        <v>4363.4805297187304</v>
      </c>
      <c r="AD51" s="142">
        <f t="shared" si="23"/>
        <v>3629.9033851403656</v>
      </c>
      <c r="AE51" s="142">
        <f t="shared" si="23"/>
        <v>3195.6891503553179</v>
      </c>
      <c r="AF51" s="142">
        <f t="shared" si="23"/>
        <v>3884.8581909333807</v>
      </c>
      <c r="AG51" s="142">
        <f t="shared" si="23"/>
        <v>3127.0968901891156</v>
      </c>
      <c r="AH51" s="142">
        <f t="shared" si="23"/>
        <v>6822.0296253076658</v>
      </c>
      <c r="AI51" s="142">
        <f t="shared" si="23"/>
        <v>1551.4275112792839</v>
      </c>
      <c r="AJ51" s="142">
        <f t="shared" si="23"/>
        <v>3569.8983979865866</v>
      </c>
      <c r="AK51" s="142">
        <f t="shared" si="23"/>
        <v>6252.6136012302004</v>
      </c>
      <c r="AL51" s="142">
        <f t="shared" si="23"/>
        <v>7194.1207142898893</v>
      </c>
      <c r="AM51" s="142">
        <f t="shared" si="23"/>
        <v>2730.2757018902048</v>
      </c>
      <c r="AN51" s="142">
        <f t="shared" si="23"/>
        <v>500.74797170774235</v>
      </c>
      <c r="AO51" s="142">
        <v>0</v>
      </c>
      <c r="AP51" s="142">
        <v>0</v>
      </c>
      <c r="AQ51" s="142">
        <f t="shared" si="23"/>
        <v>2815.6343106115869</v>
      </c>
      <c r="AR51" s="142">
        <f t="shared" si="23"/>
        <v>2870.5906521709676</v>
      </c>
      <c r="AS51" s="142">
        <f t="shared" si="23"/>
        <v>1336.7175670836725</v>
      </c>
      <c r="AT51" s="142">
        <v>0</v>
      </c>
      <c r="AU51" s="142">
        <f t="shared" si="23"/>
        <v>5274.8044641841725</v>
      </c>
      <c r="AV51" s="142">
        <f>AV46</f>
        <v>23293.83766119233</v>
      </c>
      <c r="AW51" s="142">
        <f t="shared" si="23"/>
        <v>16847.880334863195</v>
      </c>
      <c r="AX51" s="142">
        <f t="shared" si="23"/>
        <v>2652.0653027122462</v>
      </c>
      <c r="AY51" s="142"/>
    </row>
    <row r="53" spans="19:51" x14ac:dyDescent="0.25">
      <c r="AV53" s="137">
        <v>18987.023488104569</v>
      </c>
      <c r="AW53" s="137">
        <v>13450.849773450571</v>
      </c>
      <c r="AX53" s="137">
        <v>2547.4197026730535</v>
      </c>
    </row>
    <row r="54" spans="19:51" x14ac:dyDescent="0.25">
      <c r="AV54" s="137">
        <f>AV51-AV53</f>
        <v>4306.8141730877614</v>
      </c>
      <c r="AW54" s="137">
        <f>AW51-AW53</f>
        <v>3397.0305614126246</v>
      </c>
      <c r="AX54" s="137">
        <f>AX51-AX53</f>
        <v>104.64560003919269</v>
      </c>
    </row>
    <row r="55" spans="19:51" x14ac:dyDescent="0.25">
      <c r="AK55" s="136">
        <f>AW49-AK49</f>
        <v>95559.902766220242</v>
      </c>
      <c r="AV55" s="137"/>
      <c r="AW55" s="137"/>
      <c r="AX55" s="137"/>
    </row>
    <row r="56" spans="19:51" x14ac:dyDescent="0.25">
      <c r="AV56" s="137">
        <f>SUM(AV51:AX51)-SUM(AV53:AX53)</f>
        <v>7808.4903345395724</v>
      </c>
      <c r="AW56" s="137"/>
      <c r="AX56" s="137"/>
    </row>
    <row r="57" spans="19:51" x14ac:dyDescent="0.25">
      <c r="AV57" s="137"/>
      <c r="AW57" s="137"/>
      <c r="AX57" s="137"/>
    </row>
    <row r="58" spans="19:51" x14ac:dyDescent="0.25">
      <c r="AV58" s="137">
        <f>AW40-AV56</f>
        <v>337638.16171854915</v>
      </c>
      <c r="AW58" s="137"/>
      <c r="AX58" s="137"/>
    </row>
  </sheetData>
  <mergeCells count="15">
    <mergeCell ref="H44:M44"/>
    <mergeCell ref="R8:S10"/>
    <mergeCell ref="T8:W8"/>
    <mergeCell ref="X8:AX8"/>
    <mergeCell ref="D9:G9"/>
    <mergeCell ref="T9:AJ9"/>
    <mergeCell ref="AK9:AT9"/>
    <mergeCell ref="AV9:AW9"/>
    <mergeCell ref="I10:J10"/>
    <mergeCell ref="K10:L10"/>
    <mergeCell ref="R11:R21"/>
    <mergeCell ref="T24:AJ24"/>
    <mergeCell ref="AK24:AT24"/>
    <mergeCell ref="AV24:AW24"/>
    <mergeCell ref="H25:M25"/>
  </mergeCells>
  <hyperlinks>
    <hyperlink ref="P38" r:id="rId1" xr:uid="{0A45340C-3A3A-4E3A-844E-E68E40C92B1E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751A-B806-4B89-A79F-867558AD0C4A}">
  <sheetPr>
    <tabColor rgb="FFFFC000"/>
  </sheetPr>
  <dimension ref="G3:P202"/>
  <sheetViews>
    <sheetView workbookViewId="0">
      <selection activeCell="X103" sqref="X103"/>
    </sheetView>
  </sheetViews>
  <sheetFormatPr defaultRowHeight="15" x14ac:dyDescent="0.25"/>
  <cols>
    <col min="7" max="7" width="15.42578125" customWidth="1"/>
    <col min="8" max="10" width="18" customWidth="1"/>
    <col min="11" max="13" width="15.42578125" customWidth="1"/>
    <col min="14" max="14" width="16.28515625" customWidth="1"/>
    <col min="16" max="16" width="17.140625" customWidth="1"/>
  </cols>
  <sheetData>
    <row r="3" spans="7:13" x14ac:dyDescent="0.25">
      <c r="G3" t="s">
        <v>75</v>
      </c>
      <c r="H3" s="61" t="s">
        <v>76</v>
      </c>
    </row>
    <row r="8" spans="7:13" x14ac:dyDescent="0.25">
      <c r="G8" t="s">
        <v>54</v>
      </c>
    </row>
    <row r="9" spans="7:13" x14ac:dyDescent="0.25">
      <c r="G9" t="s">
        <v>55</v>
      </c>
    </row>
    <row r="10" spans="7:13" x14ac:dyDescent="0.25">
      <c r="G10" s="61" t="s">
        <v>56</v>
      </c>
    </row>
    <row r="12" spans="7:13" x14ac:dyDescent="0.25">
      <c r="G12" t="s">
        <v>57</v>
      </c>
      <c r="H12" t="s">
        <v>58</v>
      </c>
      <c r="I12" t="s">
        <v>59</v>
      </c>
    </row>
    <row r="13" spans="7:13" x14ac:dyDescent="0.25">
      <c r="G13" t="s">
        <v>60</v>
      </c>
      <c r="I13" t="s">
        <v>61</v>
      </c>
      <c r="J13" t="s">
        <v>62</v>
      </c>
      <c r="K13" t="s">
        <v>63</v>
      </c>
      <c r="L13" t="s">
        <v>64</v>
      </c>
      <c r="M13" t="s">
        <v>65</v>
      </c>
    </row>
    <row r="14" spans="7:13" x14ac:dyDescent="0.25">
      <c r="G14" t="s">
        <v>66</v>
      </c>
      <c r="I14" s="55">
        <v>8184109</v>
      </c>
      <c r="J14" s="55">
        <v>188604</v>
      </c>
      <c r="K14" s="55" t="s">
        <v>67</v>
      </c>
      <c r="L14" s="55">
        <v>188604</v>
      </c>
      <c r="M14" s="55">
        <v>23045.14</v>
      </c>
    </row>
    <row r="15" spans="7:13" x14ac:dyDescent="0.25">
      <c r="G15" t="s">
        <v>68</v>
      </c>
      <c r="I15" s="55">
        <v>3132508</v>
      </c>
      <c r="J15" s="55">
        <v>46653</v>
      </c>
      <c r="K15" s="55">
        <v>32128</v>
      </c>
      <c r="L15" s="55">
        <v>78781</v>
      </c>
      <c r="M15" s="55">
        <v>14893.09</v>
      </c>
    </row>
    <row r="16" spans="7:13" x14ac:dyDescent="0.25">
      <c r="G16" t="s">
        <v>44</v>
      </c>
      <c r="I16" s="55">
        <v>11316617</v>
      </c>
      <c r="J16" s="55">
        <v>235257</v>
      </c>
      <c r="K16" s="55">
        <v>32128</v>
      </c>
      <c r="L16" s="55">
        <v>267385</v>
      </c>
      <c r="M16" s="55">
        <v>20788.599999999999</v>
      </c>
    </row>
    <row r="21" spans="7:13" x14ac:dyDescent="0.25">
      <c r="G21" t="s">
        <v>74</v>
      </c>
    </row>
    <row r="22" spans="7:13" x14ac:dyDescent="0.25">
      <c r="G22" t="s">
        <v>55</v>
      </c>
    </row>
    <row r="23" spans="7:13" x14ac:dyDescent="0.25">
      <c r="G23" t="s">
        <v>56</v>
      </c>
    </row>
    <row r="25" spans="7:13" x14ac:dyDescent="0.25">
      <c r="G25" t="s">
        <v>57</v>
      </c>
      <c r="H25" t="s">
        <v>58</v>
      </c>
      <c r="I25" t="s">
        <v>59</v>
      </c>
    </row>
    <row r="26" spans="7:13" x14ac:dyDescent="0.25">
      <c r="G26" t="s">
        <v>60</v>
      </c>
      <c r="I26" t="s">
        <v>61</v>
      </c>
      <c r="J26" t="s">
        <v>69</v>
      </c>
      <c r="K26" t="s">
        <v>63</v>
      </c>
      <c r="L26" t="s">
        <v>64</v>
      </c>
      <c r="M26" t="s">
        <v>65</v>
      </c>
    </row>
    <row r="27" spans="7:13" x14ac:dyDescent="0.25">
      <c r="G27" t="s">
        <v>70</v>
      </c>
      <c r="I27" s="55">
        <v>495955</v>
      </c>
      <c r="J27" s="55">
        <v>7425</v>
      </c>
      <c r="K27" s="55" t="s">
        <v>67</v>
      </c>
      <c r="L27" s="55">
        <v>7425</v>
      </c>
      <c r="M27" s="55">
        <v>14970.29</v>
      </c>
    </row>
    <row r="28" spans="7:13" x14ac:dyDescent="0.25">
      <c r="G28" t="s">
        <v>68</v>
      </c>
      <c r="I28" s="55">
        <v>451315</v>
      </c>
      <c r="J28" s="55">
        <v>5104</v>
      </c>
      <c r="K28" s="55">
        <v>4777</v>
      </c>
      <c r="L28" s="55">
        <v>9881</v>
      </c>
      <c r="M28" s="55">
        <v>21893.54</v>
      </c>
    </row>
    <row r="29" spans="7:13" x14ac:dyDescent="0.25">
      <c r="G29" t="s">
        <v>44</v>
      </c>
      <c r="I29" s="55">
        <v>947270</v>
      </c>
      <c r="J29" s="55">
        <v>12529</v>
      </c>
      <c r="K29" s="55">
        <v>4777</v>
      </c>
      <c r="L29" s="55">
        <v>17305</v>
      </c>
      <c r="M29" s="55">
        <v>18268.79</v>
      </c>
    </row>
    <row r="34" spans="7:13" x14ac:dyDescent="0.25">
      <c r="G34" t="s">
        <v>71</v>
      </c>
    </row>
    <row r="35" spans="7:13" x14ac:dyDescent="0.25">
      <c r="G35" t="s">
        <v>55</v>
      </c>
    </row>
    <row r="36" spans="7:13" x14ac:dyDescent="0.25">
      <c r="G36" t="s">
        <v>56</v>
      </c>
    </row>
    <row r="38" spans="7:13" x14ac:dyDescent="0.25">
      <c r="G38" t="s">
        <v>57</v>
      </c>
      <c r="H38" t="s">
        <v>58</v>
      </c>
      <c r="I38" t="s">
        <v>59</v>
      </c>
    </row>
    <row r="39" spans="7:13" x14ac:dyDescent="0.25">
      <c r="G39" t="s">
        <v>60</v>
      </c>
      <c r="I39" t="s">
        <v>61</v>
      </c>
      <c r="J39" t="s">
        <v>72</v>
      </c>
      <c r="K39" t="s">
        <v>63</v>
      </c>
      <c r="L39" t="s">
        <v>64</v>
      </c>
      <c r="M39" t="s">
        <v>65</v>
      </c>
    </row>
    <row r="40" spans="7:13" x14ac:dyDescent="0.25">
      <c r="G40" t="s">
        <v>73</v>
      </c>
      <c r="I40" s="55">
        <v>1365198</v>
      </c>
      <c r="J40" s="55">
        <v>15291</v>
      </c>
      <c r="K40" s="55" t="s">
        <v>67</v>
      </c>
      <c r="L40" s="55">
        <v>15291</v>
      </c>
      <c r="M40" s="55">
        <v>11200.5</v>
      </c>
    </row>
    <row r="41" spans="7:13" x14ac:dyDescent="0.25">
      <c r="G41" t="s">
        <v>68</v>
      </c>
      <c r="I41" s="55">
        <v>2864990</v>
      </c>
      <c r="J41" s="55">
        <v>29027</v>
      </c>
      <c r="K41" s="55">
        <v>40688</v>
      </c>
      <c r="L41" s="55">
        <v>69715</v>
      </c>
      <c r="M41" s="55">
        <v>24333.39</v>
      </c>
    </row>
    <row r="42" spans="7:13" x14ac:dyDescent="0.25">
      <c r="G42" t="s">
        <v>44</v>
      </c>
      <c r="I42" s="55">
        <v>4230188</v>
      </c>
      <c r="J42" s="55">
        <v>44317</v>
      </c>
      <c r="K42" s="55">
        <v>40688</v>
      </c>
      <c r="L42" s="55">
        <v>85006</v>
      </c>
      <c r="M42" s="55">
        <v>20095.04</v>
      </c>
    </row>
    <row r="47" spans="7:13" x14ac:dyDescent="0.25">
      <c r="G47" s="71" t="s">
        <v>77</v>
      </c>
    </row>
    <row r="68" spans="7:13" x14ac:dyDescent="0.25">
      <c r="G68" t="s">
        <v>54</v>
      </c>
    </row>
    <row r="69" spans="7:13" x14ac:dyDescent="0.25">
      <c r="G69" t="s">
        <v>55</v>
      </c>
    </row>
    <row r="72" spans="7:13" x14ac:dyDescent="0.25">
      <c r="G72" t="s">
        <v>57</v>
      </c>
      <c r="H72" t="s">
        <v>58</v>
      </c>
      <c r="I72" t="s">
        <v>59</v>
      </c>
    </row>
    <row r="73" spans="7:13" x14ac:dyDescent="0.25">
      <c r="H73" t="s">
        <v>81</v>
      </c>
      <c r="I73">
        <v>2019</v>
      </c>
      <c r="J73">
        <v>2020</v>
      </c>
      <c r="K73">
        <v>2021</v>
      </c>
      <c r="L73">
        <v>2022</v>
      </c>
      <c r="M73">
        <v>2023</v>
      </c>
    </row>
    <row r="74" spans="7:13" x14ac:dyDescent="0.25">
      <c r="G74" t="s">
        <v>60</v>
      </c>
      <c r="I74" t="s">
        <v>62</v>
      </c>
      <c r="J74" t="s">
        <v>62</v>
      </c>
      <c r="K74" t="s">
        <v>62</v>
      </c>
      <c r="L74" t="s">
        <v>62</v>
      </c>
      <c r="M74" t="s">
        <v>62</v>
      </c>
    </row>
    <row r="75" spans="7:13" x14ac:dyDescent="0.25">
      <c r="G75" t="s">
        <v>66</v>
      </c>
      <c r="I75">
        <v>172527</v>
      </c>
      <c r="J75">
        <v>177963</v>
      </c>
      <c r="K75">
        <v>182283</v>
      </c>
      <c r="L75">
        <v>188604</v>
      </c>
      <c r="M75">
        <v>203179</v>
      </c>
    </row>
    <row r="76" spans="7:13" x14ac:dyDescent="0.25">
      <c r="G76" t="s">
        <v>68</v>
      </c>
      <c r="I76">
        <v>43366</v>
      </c>
      <c r="J76">
        <v>43958</v>
      </c>
      <c r="K76">
        <v>44994</v>
      </c>
      <c r="L76">
        <v>46653</v>
      </c>
      <c r="M76">
        <v>50890</v>
      </c>
    </row>
    <row r="77" spans="7:13" x14ac:dyDescent="0.25">
      <c r="G77" t="s">
        <v>44</v>
      </c>
      <c r="I77" s="61">
        <v>215893</v>
      </c>
      <c r="J77" s="61">
        <v>221920</v>
      </c>
      <c r="K77" s="61">
        <v>227277</v>
      </c>
      <c r="L77" s="61">
        <v>235257</v>
      </c>
      <c r="M77" s="61">
        <v>254069</v>
      </c>
    </row>
    <row r="82" spans="7:13" x14ac:dyDescent="0.25">
      <c r="G82" t="s">
        <v>82</v>
      </c>
    </row>
    <row r="83" spans="7:13" x14ac:dyDescent="0.25">
      <c r="G83" t="s">
        <v>55</v>
      </c>
    </row>
    <row r="86" spans="7:13" x14ac:dyDescent="0.25">
      <c r="G86" t="s">
        <v>57</v>
      </c>
      <c r="H86" t="s">
        <v>58</v>
      </c>
      <c r="I86" t="s">
        <v>59</v>
      </c>
    </row>
    <row r="87" spans="7:13" x14ac:dyDescent="0.25">
      <c r="H87" t="s">
        <v>81</v>
      </c>
      <c r="I87">
        <v>2019</v>
      </c>
      <c r="J87">
        <v>2020</v>
      </c>
      <c r="K87">
        <v>2021</v>
      </c>
      <c r="L87">
        <v>2022</v>
      </c>
      <c r="M87">
        <v>2023</v>
      </c>
    </row>
    <row r="88" spans="7:13" x14ac:dyDescent="0.25">
      <c r="G88" t="s">
        <v>60</v>
      </c>
      <c r="I88" t="s">
        <v>69</v>
      </c>
      <c r="J88" t="s">
        <v>69</v>
      </c>
      <c r="K88" t="s">
        <v>69</v>
      </c>
      <c r="L88" t="s">
        <v>69</v>
      </c>
      <c r="M88" t="s">
        <v>69</v>
      </c>
    </row>
    <row r="89" spans="7:13" x14ac:dyDescent="0.25">
      <c r="G89" t="s">
        <v>70</v>
      </c>
      <c r="I89">
        <v>7936</v>
      </c>
      <c r="J89">
        <v>7698</v>
      </c>
      <c r="K89">
        <v>7360</v>
      </c>
      <c r="L89">
        <v>7425</v>
      </c>
      <c r="M89">
        <v>7851</v>
      </c>
    </row>
    <row r="90" spans="7:13" x14ac:dyDescent="0.25">
      <c r="G90" t="s">
        <v>68</v>
      </c>
      <c r="I90">
        <v>5848</v>
      </c>
      <c r="J90">
        <v>5586</v>
      </c>
      <c r="K90">
        <v>5284</v>
      </c>
      <c r="L90">
        <v>5104</v>
      </c>
      <c r="M90">
        <v>5303</v>
      </c>
    </row>
    <row r="91" spans="7:13" x14ac:dyDescent="0.25">
      <c r="G91" t="s">
        <v>44</v>
      </c>
      <c r="I91" s="61">
        <v>13784</v>
      </c>
      <c r="J91" s="61">
        <v>13284</v>
      </c>
      <c r="K91" s="61">
        <v>12644</v>
      </c>
      <c r="L91" s="61">
        <v>12529</v>
      </c>
      <c r="M91" s="61">
        <v>13154</v>
      </c>
    </row>
    <row r="96" spans="7:13" x14ac:dyDescent="0.25">
      <c r="G96" t="s">
        <v>71</v>
      </c>
    </row>
    <row r="97" spans="7:13" x14ac:dyDescent="0.25">
      <c r="G97" t="s">
        <v>55</v>
      </c>
    </row>
    <row r="100" spans="7:13" x14ac:dyDescent="0.25">
      <c r="G100" t="s">
        <v>57</v>
      </c>
      <c r="H100" t="s">
        <v>58</v>
      </c>
      <c r="I100" t="s">
        <v>59</v>
      </c>
    </row>
    <row r="101" spans="7:13" x14ac:dyDescent="0.25">
      <c r="H101" t="s">
        <v>81</v>
      </c>
      <c r="I101">
        <v>2019</v>
      </c>
      <c r="J101">
        <v>2020</v>
      </c>
      <c r="K101">
        <v>2021</v>
      </c>
      <c r="L101">
        <v>2022</v>
      </c>
      <c r="M101">
        <v>2023</v>
      </c>
    </row>
    <row r="102" spans="7:13" x14ac:dyDescent="0.25">
      <c r="G102" t="s">
        <v>60</v>
      </c>
      <c r="I102" t="s">
        <v>72</v>
      </c>
      <c r="J102" t="s">
        <v>72</v>
      </c>
      <c r="K102" t="s">
        <v>72</v>
      </c>
      <c r="L102" t="s">
        <v>72</v>
      </c>
      <c r="M102" t="s">
        <v>72</v>
      </c>
    </row>
    <row r="103" spans="7:13" x14ac:dyDescent="0.25">
      <c r="G103" t="s">
        <v>70</v>
      </c>
      <c r="I103">
        <v>15197</v>
      </c>
      <c r="J103">
        <v>15291</v>
      </c>
      <c r="K103">
        <v>15206</v>
      </c>
      <c r="L103">
        <v>15291</v>
      </c>
      <c r="M103">
        <v>16233</v>
      </c>
    </row>
    <row r="104" spans="7:13" x14ac:dyDescent="0.25">
      <c r="G104" t="s">
        <v>68</v>
      </c>
      <c r="I104">
        <v>27786</v>
      </c>
      <c r="J104">
        <v>27973</v>
      </c>
      <c r="K104">
        <v>28284</v>
      </c>
      <c r="L104">
        <v>29027</v>
      </c>
      <c r="M104">
        <v>31438</v>
      </c>
    </row>
    <row r="105" spans="7:13" x14ac:dyDescent="0.25">
      <c r="G105" t="s">
        <v>44</v>
      </c>
      <c r="I105" s="61">
        <v>42983</v>
      </c>
      <c r="J105" s="61">
        <v>43264</v>
      </c>
      <c r="K105" s="61">
        <v>43490</v>
      </c>
      <c r="L105" s="61">
        <v>44317</v>
      </c>
      <c r="M105" s="61">
        <v>47671</v>
      </c>
    </row>
    <row r="111" spans="7:13" x14ac:dyDescent="0.25">
      <c r="I111" s="73">
        <f>I105+I91+I77</f>
        <v>272660</v>
      </c>
      <c r="J111" s="73">
        <f t="shared" ref="J111:L111" si="0">J105+J91+J77</f>
        <v>278468</v>
      </c>
      <c r="K111" s="73">
        <f t="shared" si="0"/>
        <v>283411</v>
      </c>
      <c r="L111" s="73">
        <f t="shared" si="0"/>
        <v>292103</v>
      </c>
      <c r="M111" s="73">
        <f>M105+M91+M77</f>
        <v>314894</v>
      </c>
    </row>
    <row r="116" spans="9:13" x14ac:dyDescent="0.25">
      <c r="I116" s="73">
        <v>276074</v>
      </c>
      <c r="J116" s="73">
        <v>282501</v>
      </c>
      <c r="K116" s="73">
        <v>287243</v>
      </c>
      <c r="L116" s="73">
        <v>297809</v>
      </c>
      <c r="M116" s="73">
        <v>319383</v>
      </c>
    </row>
    <row r="121" spans="9:13" x14ac:dyDescent="0.25">
      <c r="I121" s="74">
        <f>I111/I116</f>
        <v>0.98763375037127732</v>
      </c>
      <c r="J121" s="74">
        <f>J111/J116</f>
        <v>0.98572394434002009</v>
      </c>
      <c r="K121" s="74">
        <f>K111/K116</f>
        <v>0.98665937899269951</v>
      </c>
      <c r="L121" s="74">
        <f>L111/L116</f>
        <v>0.98084006863459461</v>
      </c>
      <c r="M121" s="74">
        <f>M111/M116</f>
        <v>0.98594477476885123</v>
      </c>
    </row>
    <row r="172" spans="7:10" x14ac:dyDescent="0.25">
      <c r="G172" t="s">
        <v>91</v>
      </c>
    </row>
    <row r="173" spans="7:10" x14ac:dyDescent="0.25">
      <c r="G173" t="s">
        <v>55</v>
      </c>
    </row>
    <row r="174" spans="7:10" x14ac:dyDescent="0.25">
      <c r="G174" t="s">
        <v>92</v>
      </c>
      <c r="H174" t="s">
        <v>93</v>
      </c>
      <c r="I174" t="s">
        <v>94</v>
      </c>
      <c r="J174" t="s">
        <v>95</v>
      </c>
    </row>
    <row r="176" spans="7:10" x14ac:dyDescent="0.25">
      <c r="G176" t="s">
        <v>57</v>
      </c>
      <c r="H176" t="s">
        <v>58</v>
      </c>
      <c r="I176" t="s">
        <v>59</v>
      </c>
    </row>
    <row r="177" spans="7:16" x14ac:dyDescent="0.25">
      <c r="H177" t="s">
        <v>81</v>
      </c>
      <c r="I177">
        <v>2021</v>
      </c>
      <c r="J177" t="s">
        <v>50</v>
      </c>
      <c r="K177">
        <v>2022</v>
      </c>
      <c r="L177" t="s">
        <v>50</v>
      </c>
      <c r="M177">
        <v>2023</v>
      </c>
      <c r="N177" t="s">
        <v>50</v>
      </c>
      <c r="O177">
        <v>2024</v>
      </c>
      <c r="P177" t="s">
        <v>50</v>
      </c>
    </row>
    <row r="178" spans="7:16" x14ac:dyDescent="0.25">
      <c r="G178" t="s">
        <v>96</v>
      </c>
      <c r="I178" t="s">
        <v>97</v>
      </c>
      <c r="J178" t="s">
        <v>98</v>
      </c>
      <c r="K178" t="s">
        <v>97</v>
      </c>
      <c r="L178" t="s">
        <v>98</v>
      </c>
      <c r="M178" t="s">
        <v>97</v>
      </c>
      <c r="N178" t="s">
        <v>98</v>
      </c>
      <c r="O178" t="s">
        <v>97</v>
      </c>
      <c r="P178" t="s">
        <v>98</v>
      </c>
    </row>
    <row r="179" spans="7:16" x14ac:dyDescent="0.25">
      <c r="G179" t="s">
        <v>99</v>
      </c>
      <c r="I179">
        <v>1239.32</v>
      </c>
      <c r="J179">
        <v>397196</v>
      </c>
      <c r="K179">
        <v>1226.44</v>
      </c>
      <c r="L179">
        <v>387172</v>
      </c>
      <c r="M179">
        <v>1272.8900000000001</v>
      </c>
      <c r="N179">
        <v>368607</v>
      </c>
      <c r="O179">
        <v>1305.81</v>
      </c>
      <c r="P179">
        <v>355508</v>
      </c>
    </row>
    <row r="180" spans="7:16" x14ac:dyDescent="0.25">
      <c r="G180" t="s">
        <v>100</v>
      </c>
      <c r="I180">
        <v>803.12</v>
      </c>
      <c r="J180">
        <v>264789</v>
      </c>
      <c r="K180">
        <v>780.3</v>
      </c>
      <c r="L180">
        <v>259992</v>
      </c>
      <c r="M180">
        <v>822</v>
      </c>
      <c r="N180">
        <v>256586</v>
      </c>
      <c r="O180">
        <v>832.36</v>
      </c>
      <c r="P180">
        <v>245495</v>
      </c>
    </row>
    <row r="181" spans="7:16" x14ac:dyDescent="0.25">
      <c r="G181" t="s">
        <v>101</v>
      </c>
      <c r="I181">
        <v>2157.91</v>
      </c>
      <c r="J181">
        <v>168445</v>
      </c>
      <c r="K181">
        <v>2075.6799999999998</v>
      </c>
      <c r="L181">
        <v>148875</v>
      </c>
      <c r="M181">
        <v>2045.42</v>
      </c>
      <c r="N181">
        <v>131646</v>
      </c>
      <c r="O181">
        <v>2032.99</v>
      </c>
      <c r="P181">
        <v>128276</v>
      </c>
    </row>
    <row r="182" spans="7:16" x14ac:dyDescent="0.25">
      <c r="G182" t="s">
        <v>102</v>
      </c>
      <c r="I182">
        <v>1716.78</v>
      </c>
      <c r="J182">
        <v>67715</v>
      </c>
      <c r="K182">
        <v>1668.88</v>
      </c>
      <c r="L182">
        <v>63736</v>
      </c>
      <c r="M182">
        <v>1715.55</v>
      </c>
      <c r="N182">
        <v>63153</v>
      </c>
      <c r="O182">
        <v>1755.81</v>
      </c>
      <c r="P182">
        <v>62841</v>
      </c>
    </row>
    <row r="183" spans="7:16" x14ac:dyDescent="0.25">
      <c r="G183" t="s">
        <v>44</v>
      </c>
      <c r="I183">
        <v>1319</v>
      </c>
      <c r="J183">
        <v>898145</v>
      </c>
      <c r="K183">
        <v>1271.3800000000001</v>
      </c>
      <c r="L183">
        <v>859775</v>
      </c>
      <c r="M183">
        <v>1289.92</v>
      </c>
      <c r="N183">
        <v>819992</v>
      </c>
      <c r="O183">
        <v>1312.54</v>
      </c>
      <c r="P183">
        <v>792120</v>
      </c>
    </row>
    <row r="187" spans="7:16" x14ac:dyDescent="0.25">
      <c r="J187" s="55">
        <f>I183*13*J183</f>
        <v>15400492315</v>
      </c>
      <c r="K187" s="55"/>
      <c r="L187" s="55">
        <f>K183*13*L183</f>
        <v>14210309613.500002</v>
      </c>
      <c r="M187" s="55"/>
      <c r="N187" s="55">
        <f>M183*13*N183</f>
        <v>13750413048.32</v>
      </c>
      <c r="O187" s="55"/>
      <c r="P187" s="55">
        <f>O183*13*P183</f>
        <v>13515959402.4</v>
      </c>
    </row>
    <row r="191" spans="7:16" x14ac:dyDescent="0.25">
      <c r="G191" s="91">
        <v>0.97199999999999998</v>
      </c>
      <c r="H191" s="91">
        <v>0.97199999999999998</v>
      </c>
      <c r="I191" s="91">
        <v>0.97199999999999998</v>
      </c>
    </row>
    <row r="192" spans="7:16" x14ac:dyDescent="0.25">
      <c r="G192">
        <v>1.9</v>
      </c>
      <c r="H192">
        <v>8.1</v>
      </c>
      <c r="I192">
        <v>5.4</v>
      </c>
    </row>
    <row r="193" spans="7:10" x14ac:dyDescent="0.25">
      <c r="H193">
        <v>2022</v>
      </c>
      <c r="I193">
        <v>2023</v>
      </c>
      <c r="J193">
        <v>2024</v>
      </c>
    </row>
    <row r="194" spans="7:10" x14ac:dyDescent="0.25">
      <c r="G194" s="98">
        <v>15400492315</v>
      </c>
      <c r="H194">
        <v>14210309613.500002</v>
      </c>
      <c r="I194">
        <v>13750413048.32</v>
      </c>
      <c r="J194">
        <v>13515959402.4</v>
      </c>
    </row>
    <row r="198" spans="7:10" x14ac:dyDescent="0.25">
      <c r="G198" s="98">
        <f>G194/2</f>
        <v>7700246157.5</v>
      </c>
      <c r="H198" s="92">
        <f>H194/2</f>
        <v>7105154806.750001</v>
      </c>
      <c r="I198" s="92">
        <f>H198*2*(1+H191*H192%)</f>
        <v>15329115709.990084</v>
      </c>
      <c r="J198" s="92">
        <f>I198*(1+I191*I192%)</f>
        <v>16133710335.376045</v>
      </c>
    </row>
    <row r="199" spans="7:10" x14ac:dyDescent="0.25">
      <c r="H199" s="92"/>
      <c r="I199" s="92">
        <f>I194/2</f>
        <v>6875206524.1599998</v>
      </c>
      <c r="J199" s="92">
        <f>I199*2*(1+I191*I192%)</f>
        <v>14472144728.400221</v>
      </c>
    </row>
    <row r="200" spans="7:10" x14ac:dyDescent="0.25">
      <c r="J200" s="92">
        <f>J194/2</f>
        <v>6757979701.1999998</v>
      </c>
    </row>
    <row r="202" spans="7:10" x14ac:dyDescent="0.25">
      <c r="H202" s="93">
        <f>SUM(H198:H200)</f>
        <v>7105154806.750001</v>
      </c>
      <c r="I202" s="93">
        <f>SUM(I198:I200)</f>
        <v>22204322234.150085</v>
      </c>
      <c r="J202" s="93">
        <f t="shared" ref="J202" si="1">SUM(J198:J200)</f>
        <v>37363834764.976265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90BD-9E8B-4DA6-892F-E9F8CF85EF78}">
  <sheetPr>
    <tabColor rgb="FF0070C0"/>
  </sheetPr>
  <dimension ref="C5:BA114"/>
  <sheetViews>
    <sheetView topLeftCell="N99" zoomScale="90" zoomScaleNormal="90" workbookViewId="0">
      <selection activeCell="X103" sqref="X103"/>
    </sheetView>
  </sheetViews>
  <sheetFormatPr defaultRowHeight="15" x14ac:dyDescent="0.25"/>
  <cols>
    <col min="1" max="3" width="9.140625" style="2"/>
    <col min="4" max="4" width="18.85546875" style="2" customWidth="1"/>
    <col min="5" max="7" width="16.42578125" style="2" customWidth="1"/>
    <col min="8" max="17" width="9.140625" style="2"/>
    <col min="18" max="18" width="3.28515625" style="2" customWidth="1"/>
    <col min="19" max="19" width="5.7109375" style="2" customWidth="1"/>
    <col min="20" max="51" width="8.5703125" style="2" customWidth="1"/>
    <col min="52" max="16384" width="9.140625" style="2"/>
  </cols>
  <sheetData>
    <row r="5" spans="3:53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3:53" x14ac:dyDescent="0.25"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3:53" ht="7.5" customHeight="1" thickBot="1" x14ac:dyDescent="0.3"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5" t="s">
        <v>6</v>
      </c>
      <c r="AZ7" s="1"/>
      <c r="BA7" s="1"/>
    </row>
    <row r="8" spans="3:53" ht="7.5" customHeight="1" thickTop="1" thickBot="1" x14ac:dyDescent="0.3">
      <c r="Q8" s="1"/>
      <c r="R8" s="173"/>
      <c r="S8" s="174"/>
      <c r="T8" s="187"/>
      <c r="U8" s="187"/>
      <c r="V8" s="187"/>
      <c r="W8" s="188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8"/>
      <c r="AZ8" s="1"/>
      <c r="BA8" s="1"/>
    </row>
    <row r="9" spans="3:53" ht="7.5" customHeight="1" thickTop="1" thickBot="1" x14ac:dyDescent="0.3">
      <c r="D9" s="179" t="s">
        <v>45</v>
      </c>
      <c r="E9" s="180"/>
      <c r="F9" s="180"/>
      <c r="G9" s="181"/>
      <c r="Q9" s="1"/>
      <c r="R9" s="175"/>
      <c r="S9" s="176"/>
      <c r="T9" s="192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9"/>
      <c r="AV9" s="195"/>
      <c r="AW9" s="196"/>
      <c r="AX9" s="9"/>
      <c r="AY9" s="9"/>
      <c r="AZ9" s="1"/>
      <c r="BA9" s="1"/>
    </row>
    <row r="10" spans="3:53" ht="42" thickTop="1" thickBot="1" x14ac:dyDescent="0.3">
      <c r="D10" s="48" t="s">
        <v>29</v>
      </c>
      <c r="E10" s="48" t="s">
        <v>30</v>
      </c>
      <c r="F10" s="48" t="s">
        <v>31</v>
      </c>
      <c r="G10" s="48" t="s">
        <v>32</v>
      </c>
      <c r="I10" s="182" t="s">
        <v>47</v>
      </c>
      <c r="J10" s="182"/>
      <c r="K10" s="182" t="s">
        <v>48</v>
      </c>
      <c r="L10" s="182"/>
      <c r="Q10" s="1"/>
      <c r="R10" s="177"/>
      <c r="S10" s="178"/>
      <c r="T10" s="62">
        <v>1995</v>
      </c>
      <c r="U10" s="50">
        <v>1996</v>
      </c>
      <c r="V10" s="50">
        <v>1997</v>
      </c>
      <c r="W10" s="60">
        <v>1998</v>
      </c>
      <c r="X10" s="60">
        <v>1999</v>
      </c>
      <c r="Y10" s="60">
        <v>2000</v>
      </c>
      <c r="Z10" s="56">
        <v>2001</v>
      </c>
      <c r="AA10" s="56">
        <v>2002</v>
      </c>
      <c r="AB10" s="56">
        <v>2003</v>
      </c>
      <c r="AC10" s="56">
        <v>2004</v>
      </c>
      <c r="AD10" s="56">
        <v>2005</v>
      </c>
      <c r="AE10" s="56">
        <v>2006</v>
      </c>
      <c r="AF10" s="56">
        <v>2007</v>
      </c>
      <c r="AG10" s="67">
        <v>2008</v>
      </c>
      <c r="AH10" s="67">
        <v>2009</v>
      </c>
      <c r="AI10" s="67">
        <v>2010</v>
      </c>
      <c r="AJ10" s="56">
        <v>2011</v>
      </c>
      <c r="AK10" s="65">
        <v>2012</v>
      </c>
      <c r="AL10" s="65">
        <v>2013</v>
      </c>
      <c r="AM10" s="70">
        <v>2014</v>
      </c>
      <c r="AN10" s="69">
        <v>2015</v>
      </c>
      <c r="AO10" s="69">
        <v>2016</v>
      </c>
      <c r="AP10" s="69">
        <v>2017</v>
      </c>
      <c r="AQ10" s="69">
        <v>2018</v>
      </c>
      <c r="AR10" s="66">
        <v>2019</v>
      </c>
      <c r="AS10" s="63">
        <v>2020</v>
      </c>
      <c r="AT10" s="63">
        <v>2021</v>
      </c>
      <c r="AU10" s="57">
        <v>2022</v>
      </c>
      <c r="AV10" s="59">
        <v>2023</v>
      </c>
      <c r="AW10" s="59">
        <v>2024</v>
      </c>
      <c r="AX10" s="57">
        <v>2025</v>
      </c>
      <c r="AY10" s="54">
        <v>2026</v>
      </c>
      <c r="AZ10" s="1"/>
      <c r="BA10" s="1"/>
    </row>
    <row r="11" spans="3:53" ht="15.75" thickTop="1" x14ac:dyDescent="0.25">
      <c r="C11" s="49">
        <v>1</v>
      </c>
      <c r="D11" s="44" t="s">
        <v>33</v>
      </c>
      <c r="E11" s="46">
        <v>1239616</v>
      </c>
      <c r="F11" s="46">
        <v>272.69</v>
      </c>
      <c r="G11" s="46">
        <v>4394459093.54</v>
      </c>
      <c r="H11" s="58">
        <v>1</v>
      </c>
      <c r="I11" s="53">
        <f>E11/$E$22</f>
        <v>8.6883580308661224E-2</v>
      </c>
      <c r="J11" s="53">
        <f>SUM($I$11:I11)</f>
        <v>8.6883580308661224E-2</v>
      </c>
      <c r="K11" s="103">
        <v>1</v>
      </c>
      <c r="L11" s="53"/>
      <c r="Q11" s="1"/>
      <c r="R11" s="185" t="s">
        <v>1</v>
      </c>
      <c r="S11" s="3">
        <v>1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6">
        <v>100</v>
      </c>
      <c r="AF11" s="6">
        <v>100</v>
      </c>
      <c r="AG11" s="6">
        <v>100</v>
      </c>
      <c r="AH11" s="6">
        <v>100</v>
      </c>
      <c r="AI11" s="6">
        <v>100</v>
      </c>
      <c r="AJ11" s="6">
        <v>100</v>
      </c>
      <c r="AK11" s="6">
        <v>100</v>
      </c>
      <c r="AL11" s="6">
        <v>100</v>
      </c>
      <c r="AM11" s="6">
        <v>100</v>
      </c>
      <c r="AN11" s="6">
        <v>100</v>
      </c>
      <c r="AO11" s="6">
        <v>100</v>
      </c>
      <c r="AP11" s="6">
        <v>100</v>
      </c>
      <c r="AQ11" s="6">
        <v>100</v>
      </c>
      <c r="AR11" s="6">
        <v>100</v>
      </c>
      <c r="AS11" s="6">
        <v>100</v>
      </c>
      <c r="AT11" s="6">
        <v>100</v>
      </c>
      <c r="AU11" s="6">
        <v>100</v>
      </c>
      <c r="AV11" s="6">
        <v>100</v>
      </c>
      <c r="AW11" s="6">
        <v>100</v>
      </c>
      <c r="AX11" s="6">
        <v>100</v>
      </c>
      <c r="AY11" s="38">
        <v>100</v>
      </c>
      <c r="AZ11" s="1"/>
      <c r="BA11" s="1"/>
    </row>
    <row r="12" spans="3:53" x14ac:dyDescent="0.25">
      <c r="C12" s="49">
        <v>2</v>
      </c>
      <c r="D12" s="44" t="s">
        <v>34</v>
      </c>
      <c r="E12" s="46">
        <v>3870395</v>
      </c>
      <c r="F12" s="46">
        <v>756.59</v>
      </c>
      <c r="G12" s="46">
        <v>38068101562.07</v>
      </c>
      <c r="H12" s="58">
        <v>2</v>
      </c>
      <c r="I12" s="53">
        <f t="shared" ref="I12:I22" si="0">E12/$E$22</f>
        <v>0.27127253505016136</v>
      </c>
      <c r="J12" s="53">
        <f>SUM($I$11:I12)</f>
        <v>0.35815611535882258</v>
      </c>
      <c r="K12" s="103">
        <v>1</v>
      </c>
      <c r="L12" s="53"/>
      <c r="Q12" s="1"/>
      <c r="R12" s="185"/>
      <c r="S12" s="3">
        <v>2</v>
      </c>
      <c r="T12" s="4">
        <v>100</v>
      </c>
      <c r="U12" s="4">
        <v>100</v>
      </c>
      <c r="V12" s="4">
        <v>100</v>
      </c>
      <c r="W12" s="4">
        <v>100</v>
      </c>
      <c r="X12" s="4">
        <v>100</v>
      </c>
      <c r="Y12" s="4">
        <v>100</v>
      </c>
      <c r="Z12" s="4">
        <v>100</v>
      </c>
      <c r="AA12" s="4">
        <v>100</v>
      </c>
      <c r="AB12" s="4">
        <v>100</v>
      </c>
      <c r="AC12" s="4">
        <v>100</v>
      </c>
      <c r="AD12" s="4">
        <v>100</v>
      </c>
      <c r="AE12" s="4">
        <v>100</v>
      </c>
      <c r="AF12" s="4">
        <v>100</v>
      </c>
      <c r="AG12" s="4">
        <v>100</v>
      </c>
      <c r="AH12" s="4">
        <v>100</v>
      </c>
      <c r="AI12" s="4">
        <v>100</v>
      </c>
      <c r="AJ12" s="4">
        <v>100</v>
      </c>
      <c r="AK12" s="4">
        <v>100</v>
      </c>
      <c r="AL12" s="4">
        <v>100</v>
      </c>
      <c r="AM12" s="4">
        <v>100</v>
      </c>
      <c r="AN12" s="4">
        <v>100</v>
      </c>
      <c r="AO12" s="4">
        <v>100</v>
      </c>
      <c r="AP12" s="4">
        <v>100</v>
      </c>
      <c r="AQ12" s="4">
        <v>100</v>
      </c>
      <c r="AR12" s="4">
        <v>100</v>
      </c>
      <c r="AS12" s="4">
        <v>100</v>
      </c>
      <c r="AT12" s="4">
        <v>100</v>
      </c>
      <c r="AU12" s="4">
        <v>100</v>
      </c>
      <c r="AV12" s="4">
        <v>100</v>
      </c>
      <c r="AW12" s="4">
        <v>100</v>
      </c>
      <c r="AX12" s="4">
        <v>100</v>
      </c>
      <c r="AY12" s="39">
        <v>100</v>
      </c>
      <c r="AZ12" s="1"/>
      <c r="BA12" s="1"/>
    </row>
    <row r="13" spans="3:53" x14ac:dyDescent="0.25">
      <c r="C13" s="49">
        <v>3</v>
      </c>
      <c r="D13" s="44" t="s">
        <v>35</v>
      </c>
      <c r="E13" s="46">
        <v>3488899</v>
      </c>
      <c r="F13" s="46">
        <v>1316.18</v>
      </c>
      <c r="G13" s="46">
        <v>59696377524.93</v>
      </c>
      <c r="H13" s="58">
        <v>3</v>
      </c>
      <c r="I13" s="53">
        <f t="shared" si="0"/>
        <v>0.24453382051805383</v>
      </c>
      <c r="J13" s="53">
        <f>SUM($I$11:I13)</f>
        <v>0.60268993587687647</v>
      </c>
      <c r="K13" s="103">
        <v>1</v>
      </c>
      <c r="L13" s="53"/>
      <c r="Q13" s="1"/>
      <c r="R13" s="185"/>
      <c r="S13" s="3">
        <v>3</v>
      </c>
      <c r="T13" s="4">
        <v>90</v>
      </c>
      <c r="U13" s="4">
        <v>90</v>
      </c>
      <c r="V13" s="4">
        <v>90</v>
      </c>
      <c r="W13" s="4">
        <v>90</v>
      </c>
      <c r="X13" s="4">
        <v>90</v>
      </c>
      <c r="Y13" s="4">
        <v>90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N13" s="4">
        <v>100</v>
      </c>
      <c r="AO13" s="4">
        <v>100</v>
      </c>
      <c r="AP13" s="4">
        <v>100</v>
      </c>
      <c r="AQ13" s="4">
        <v>100</v>
      </c>
      <c r="AR13" s="4">
        <v>100</v>
      </c>
      <c r="AS13" s="4">
        <v>100</v>
      </c>
      <c r="AT13" s="4">
        <v>100</v>
      </c>
      <c r="AU13" s="4">
        <v>100</v>
      </c>
      <c r="AV13" s="4">
        <v>100</v>
      </c>
      <c r="AW13" s="4">
        <v>100</v>
      </c>
      <c r="AX13" s="4">
        <v>100</v>
      </c>
      <c r="AY13" s="39">
        <v>100</v>
      </c>
      <c r="AZ13" s="1"/>
      <c r="BA13" s="1"/>
    </row>
    <row r="14" spans="3:53" x14ac:dyDescent="0.25">
      <c r="C14" s="49">
        <v>4</v>
      </c>
      <c r="D14" s="44" t="s">
        <v>36</v>
      </c>
      <c r="E14" s="46">
        <v>2407576</v>
      </c>
      <c r="F14" s="46">
        <v>1824.13</v>
      </c>
      <c r="G14" s="46">
        <v>57092560198.25</v>
      </c>
      <c r="H14" s="58">
        <v>4</v>
      </c>
      <c r="I14" s="53">
        <f t="shared" si="0"/>
        <v>0.1687448554594369</v>
      </c>
      <c r="J14" s="53">
        <f>SUM($I$11:I14)</f>
        <v>0.77143479133631332</v>
      </c>
      <c r="K14" s="103">
        <v>1</v>
      </c>
      <c r="L14" s="53"/>
      <c r="Q14" s="1"/>
      <c r="R14" s="185"/>
      <c r="S14" s="3">
        <v>4</v>
      </c>
      <c r="T14" s="4">
        <v>75</v>
      </c>
      <c r="U14" s="4">
        <v>75</v>
      </c>
      <c r="V14" s="4">
        <v>75</v>
      </c>
      <c r="W14" s="4">
        <v>75</v>
      </c>
      <c r="X14" s="4">
        <v>75</v>
      </c>
      <c r="Y14" s="4">
        <v>75</v>
      </c>
      <c r="Z14" s="4">
        <v>90</v>
      </c>
      <c r="AA14" s="4">
        <v>90</v>
      </c>
      <c r="AB14" s="4">
        <v>90</v>
      </c>
      <c r="AC14" s="4">
        <v>90</v>
      </c>
      <c r="AD14" s="4">
        <v>90</v>
      </c>
      <c r="AE14" s="4">
        <v>90</v>
      </c>
      <c r="AF14" s="4">
        <v>90</v>
      </c>
      <c r="AG14" s="4">
        <v>100</v>
      </c>
      <c r="AH14" s="4">
        <v>100</v>
      </c>
      <c r="AI14" s="4">
        <v>100</v>
      </c>
      <c r="AJ14" s="4">
        <v>90</v>
      </c>
      <c r="AK14" s="4">
        <v>40</v>
      </c>
      <c r="AL14" s="4">
        <v>40</v>
      </c>
      <c r="AM14" s="4">
        <v>95</v>
      </c>
      <c r="AN14" s="4">
        <v>95</v>
      </c>
      <c r="AO14" s="4">
        <v>95</v>
      </c>
      <c r="AP14" s="4">
        <v>95</v>
      </c>
      <c r="AQ14" s="4">
        <v>95</v>
      </c>
      <c r="AR14" s="4">
        <v>97</v>
      </c>
      <c r="AS14" s="4">
        <v>100</v>
      </c>
      <c r="AT14" s="4">
        <v>100</v>
      </c>
      <c r="AU14" s="4">
        <v>100</v>
      </c>
      <c r="AV14" s="4">
        <v>100</v>
      </c>
      <c r="AW14" s="4">
        <v>100</v>
      </c>
      <c r="AX14" s="4">
        <v>100</v>
      </c>
      <c r="AY14" s="39">
        <v>100</v>
      </c>
      <c r="AZ14" s="1"/>
      <c r="BA14" s="1"/>
    </row>
    <row r="15" spans="3:53" x14ac:dyDescent="0.25">
      <c r="C15" s="49">
        <v>5</v>
      </c>
      <c r="D15" s="44" t="s">
        <v>37</v>
      </c>
      <c r="E15" s="46">
        <v>1529558</v>
      </c>
      <c r="F15" s="46">
        <v>2343.69</v>
      </c>
      <c r="G15" s="46">
        <v>46602616234</v>
      </c>
      <c r="H15" s="58">
        <v>5</v>
      </c>
      <c r="I15" s="53">
        <f t="shared" si="0"/>
        <v>0.10720535660216973</v>
      </c>
      <c r="J15" s="53">
        <f>SUM($I$11:I15)</f>
        <v>0.87864014793848311</v>
      </c>
      <c r="K15" s="103">
        <v>1</v>
      </c>
      <c r="L15" s="53"/>
      <c r="Q15" s="1"/>
      <c r="R15" s="185"/>
      <c r="S15" s="3">
        <v>5</v>
      </c>
      <c r="T15" s="4">
        <v>75</v>
      </c>
      <c r="U15" s="4">
        <v>75</v>
      </c>
      <c r="V15" s="4">
        <v>75</v>
      </c>
      <c r="W15" s="4">
        <v>75</v>
      </c>
      <c r="X15" s="4">
        <v>75</v>
      </c>
      <c r="Y15" s="4">
        <v>75</v>
      </c>
      <c r="Z15" s="4">
        <v>90</v>
      </c>
      <c r="AA15" s="4">
        <v>90</v>
      </c>
      <c r="AB15" s="4">
        <v>90</v>
      </c>
      <c r="AC15" s="4">
        <v>90</v>
      </c>
      <c r="AD15" s="4">
        <v>90</v>
      </c>
      <c r="AE15" s="4">
        <v>90</v>
      </c>
      <c r="AF15" s="4">
        <v>90</v>
      </c>
      <c r="AG15" s="4">
        <v>100</v>
      </c>
      <c r="AH15" s="4">
        <v>100</v>
      </c>
      <c r="AI15" s="4">
        <v>100</v>
      </c>
      <c r="AJ15" s="4">
        <v>90</v>
      </c>
      <c r="AK15" s="4">
        <v>20</v>
      </c>
      <c r="AL15" s="4">
        <v>20</v>
      </c>
      <c r="AM15" s="4">
        <v>75</v>
      </c>
      <c r="AN15" s="4">
        <v>75</v>
      </c>
      <c r="AO15" s="4">
        <v>75</v>
      </c>
      <c r="AP15" s="4">
        <v>75</v>
      </c>
      <c r="AQ15" s="4">
        <v>75</v>
      </c>
      <c r="AR15" s="4">
        <v>77</v>
      </c>
      <c r="AS15" s="4">
        <v>77</v>
      </c>
      <c r="AT15" s="4">
        <v>77</v>
      </c>
      <c r="AU15" s="4">
        <v>90</v>
      </c>
      <c r="AV15" s="4">
        <v>85</v>
      </c>
      <c r="AW15" s="4">
        <v>85</v>
      </c>
      <c r="AX15" s="4">
        <v>90</v>
      </c>
      <c r="AY15" s="39">
        <v>90</v>
      </c>
      <c r="AZ15" s="1"/>
      <c r="BA15" s="1"/>
    </row>
    <row r="16" spans="3:53" x14ac:dyDescent="0.25">
      <c r="C16" s="49">
        <v>6</v>
      </c>
      <c r="D16" s="44" t="s">
        <v>38</v>
      </c>
      <c r="E16" s="46">
        <v>734699</v>
      </c>
      <c r="F16" s="46">
        <v>2858.45</v>
      </c>
      <c r="G16" s="46">
        <v>27301324401.029999</v>
      </c>
      <c r="H16" s="58">
        <v>6</v>
      </c>
      <c r="I16" s="53">
        <f t="shared" si="0"/>
        <v>5.1494397917736696E-2</v>
      </c>
      <c r="J16" s="53">
        <f>SUM($I$11:I16)</f>
        <v>0.9301345458562198</v>
      </c>
      <c r="K16" s="103">
        <v>1</v>
      </c>
      <c r="L16" s="53"/>
      <c r="Q16" s="1"/>
      <c r="R16" s="185"/>
      <c r="S16" s="3">
        <v>6</v>
      </c>
      <c r="T16" s="4">
        <v>75</v>
      </c>
      <c r="U16" s="4">
        <v>75</v>
      </c>
      <c r="V16" s="4">
        <v>75</v>
      </c>
      <c r="W16" s="4">
        <v>0</v>
      </c>
      <c r="X16" s="4">
        <v>30</v>
      </c>
      <c r="Y16" s="4">
        <v>30</v>
      </c>
      <c r="Z16" s="4">
        <v>75</v>
      </c>
      <c r="AA16" s="4">
        <v>75</v>
      </c>
      <c r="AB16" s="4">
        <v>75</v>
      </c>
      <c r="AC16" s="4">
        <v>75</v>
      </c>
      <c r="AD16" s="4">
        <v>75</v>
      </c>
      <c r="AE16" s="4">
        <v>75</v>
      </c>
      <c r="AF16" s="4">
        <v>75</v>
      </c>
      <c r="AG16" s="4">
        <v>75</v>
      </c>
      <c r="AH16" s="4">
        <v>75</v>
      </c>
      <c r="AI16" s="4">
        <v>75</v>
      </c>
      <c r="AJ16" s="4">
        <v>75</v>
      </c>
      <c r="AK16" s="4">
        <v>10</v>
      </c>
      <c r="AL16" s="4">
        <v>10</v>
      </c>
      <c r="AM16" s="4">
        <v>50</v>
      </c>
      <c r="AN16" s="4">
        <v>50</v>
      </c>
      <c r="AO16" s="4">
        <v>50</v>
      </c>
      <c r="AP16" s="4">
        <v>50</v>
      </c>
      <c r="AQ16" s="4">
        <v>50</v>
      </c>
      <c r="AR16" s="4">
        <v>52</v>
      </c>
      <c r="AS16" s="4">
        <v>52</v>
      </c>
      <c r="AT16" s="4">
        <v>52</v>
      </c>
      <c r="AU16" s="4">
        <v>75</v>
      </c>
      <c r="AV16" s="4">
        <v>53</v>
      </c>
      <c r="AW16" s="4">
        <v>53</v>
      </c>
      <c r="AX16" s="4">
        <v>75</v>
      </c>
      <c r="AY16" s="39">
        <v>75</v>
      </c>
      <c r="AZ16" s="1"/>
      <c r="BA16" s="1"/>
    </row>
    <row r="17" spans="3:53" x14ac:dyDescent="0.25">
      <c r="C17" s="49">
        <v>7</v>
      </c>
      <c r="D17" s="44" t="s">
        <v>39</v>
      </c>
      <c r="E17" s="46">
        <v>366953</v>
      </c>
      <c r="F17" s="46">
        <v>3383.51</v>
      </c>
      <c r="G17" s="46">
        <v>16140675372.41</v>
      </c>
      <c r="H17" s="58">
        <v>7</v>
      </c>
      <c r="I17" s="53">
        <f t="shared" si="0"/>
        <v>2.5719408627352471E-2</v>
      </c>
      <c r="J17" s="53">
        <f>SUM($I$11:I17)</f>
        <v>0.95585395448357224</v>
      </c>
      <c r="K17" s="103">
        <v>1</v>
      </c>
      <c r="L17" s="53"/>
      <c r="Q17" s="1"/>
      <c r="R17" s="185"/>
      <c r="S17" s="3">
        <v>7</v>
      </c>
      <c r="T17" s="4">
        <v>75</v>
      </c>
      <c r="U17" s="4">
        <v>75</v>
      </c>
      <c r="V17" s="4">
        <v>75</v>
      </c>
      <c r="W17" s="4">
        <v>0</v>
      </c>
      <c r="X17" s="4">
        <v>30</v>
      </c>
      <c r="Y17" s="4">
        <v>30</v>
      </c>
      <c r="Z17" s="4">
        <v>75</v>
      </c>
      <c r="AA17" s="4">
        <v>75</v>
      </c>
      <c r="AB17" s="4">
        <v>75</v>
      </c>
      <c r="AC17" s="4">
        <v>75</v>
      </c>
      <c r="AD17" s="4">
        <v>75</v>
      </c>
      <c r="AE17" s="4">
        <v>75</v>
      </c>
      <c r="AF17" s="4">
        <v>75</v>
      </c>
      <c r="AG17" s="4">
        <v>75</v>
      </c>
      <c r="AH17" s="4">
        <v>75</v>
      </c>
      <c r="AI17" s="4">
        <v>75</v>
      </c>
      <c r="AJ17" s="4">
        <v>75</v>
      </c>
      <c r="AK17" s="4">
        <v>0</v>
      </c>
      <c r="AL17" s="4">
        <v>0</v>
      </c>
      <c r="AM17" s="4">
        <v>40</v>
      </c>
      <c r="AN17" s="4">
        <v>45</v>
      </c>
      <c r="AO17" s="4">
        <v>45</v>
      </c>
      <c r="AP17" s="4">
        <v>45</v>
      </c>
      <c r="AQ17" s="4">
        <v>45</v>
      </c>
      <c r="AR17" s="4">
        <v>47</v>
      </c>
      <c r="AS17" s="4">
        <v>47</v>
      </c>
      <c r="AT17" s="4">
        <v>47</v>
      </c>
      <c r="AU17" s="4">
        <v>75</v>
      </c>
      <c r="AV17" s="4">
        <v>47</v>
      </c>
      <c r="AW17" s="4">
        <v>47</v>
      </c>
      <c r="AX17" s="4">
        <v>75</v>
      </c>
      <c r="AY17" s="39">
        <v>75</v>
      </c>
      <c r="AZ17" s="1"/>
      <c r="BA17" s="1"/>
    </row>
    <row r="18" spans="3:53" x14ac:dyDescent="0.25">
      <c r="C18" s="49">
        <v>8</v>
      </c>
      <c r="D18" s="44" t="s">
        <v>40</v>
      </c>
      <c r="E18" s="46">
        <v>191471</v>
      </c>
      <c r="F18" s="46">
        <v>3913.9</v>
      </c>
      <c r="G18" s="46">
        <v>9742179313.7099991</v>
      </c>
      <c r="H18" s="58">
        <v>8</v>
      </c>
      <c r="I18" s="53">
        <f t="shared" si="0"/>
        <v>1.3420031691491294E-2</v>
      </c>
      <c r="J18" s="53">
        <f>SUM($I$11:I18)</f>
        <v>0.96927398617506355</v>
      </c>
      <c r="K18" s="103">
        <v>1</v>
      </c>
      <c r="L18" s="53"/>
      <c r="Q18" s="1"/>
      <c r="R18" s="185"/>
      <c r="S18" s="3">
        <v>8</v>
      </c>
      <c r="T18" s="4">
        <v>75</v>
      </c>
      <c r="U18" s="4">
        <v>75</v>
      </c>
      <c r="V18" s="4">
        <v>75</v>
      </c>
      <c r="W18" s="4">
        <v>0</v>
      </c>
      <c r="X18" s="4">
        <v>30</v>
      </c>
      <c r="Y18" s="4">
        <v>30</v>
      </c>
      <c r="Z18" s="4">
        <v>75</v>
      </c>
      <c r="AA18" s="4">
        <v>75</v>
      </c>
      <c r="AB18" s="4">
        <v>75</v>
      </c>
      <c r="AC18" s="4">
        <v>75</v>
      </c>
      <c r="AD18" s="4">
        <v>75</v>
      </c>
      <c r="AE18" s="4">
        <v>75</v>
      </c>
      <c r="AF18" s="4">
        <v>75</v>
      </c>
      <c r="AG18" s="4">
        <v>75</v>
      </c>
      <c r="AH18" s="4">
        <v>75</v>
      </c>
      <c r="AI18" s="4">
        <v>75</v>
      </c>
      <c r="AJ18" s="4">
        <v>75</v>
      </c>
      <c r="AK18" s="4">
        <v>0</v>
      </c>
      <c r="AL18" s="4">
        <v>0</v>
      </c>
      <c r="AM18" s="4">
        <v>0</v>
      </c>
      <c r="AN18" s="4">
        <v>45</v>
      </c>
      <c r="AO18" s="4">
        <v>45</v>
      </c>
      <c r="AP18" s="4">
        <v>45</v>
      </c>
      <c r="AQ18" s="4">
        <v>45</v>
      </c>
      <c r="AR18" s="4">
        <v>47</v>
      </c>
      <c r="AS18" s="4">
        <v>47</v>
      </c>
      <c r="AT18" s="4">
        <v>47</v>
      </c>
      <c r="AU18" s="4">
        <v>75</v>
      </c>
      <c r="AV18" s="4">
        <v>47</v>
      </c>
      <c r="AW18" s="4">
        <v>47</v>
      </c>
      <c r="AX18" s="4">
        <v>75</v>
      </c>
      <c r="AY18" s="39">
        <v>75</v>
      </c>
      <c r="AZ18" s="1"/>
      <c r="BA18" s="1"/>
    </row>
    <row r="19" spans="3:53" x14ac:dyDescent="0.25">
      <c r="C19" s="49">
        <v>9</v>
      </c>
      <c r="D19" s="44" t="s">
        <v>41</v>
      </c>
      <c r="E19" s="46">
        <v>115269</v>
      </c>
      <c r="F19" s="46">
        <v>4450.38</v>
      </c>
      <c r="G19" s="46">
        <v>6668874671.3100004</v>
      </c>
      <c r="H19" s="58">
        <v>9</v>
      </c>
      <c r="I19" s="53">
        <f t="shared" si="0"/>
        <v>8.0791014464149137E-3</v>
      </c>
      <c r="J19" s="53">
        <f>SUM($I$11:I19)</f>
        <v>0.97735308762147843</v>
      </c>
      <c r="K19" s="103">
        <v>1</v>
      </c>
      <c r="L19" s="53"/>
      <c r="Q19" s="1"/>
      <c r="R19" s="185"/>
      <c r="S19" s="3">
        <v>9</v>
      </c>
      <c r="T19" s="4">
        <v>75</v>
      </c>
      <c r="U19" s="4">
        <v>75</v>
      </c>
      <c r="V19" s="4">
        <v>75</v>
      </c>
      <c r="W19" s="4">
        <v>0</v>
      </c>
      <c r="X19" s="4">
        <v>0</v>
      </c>
      <c r="Y19" s="4">
        <v>0</v>
      </c>
      <c r="Z19" s="4">
        <v>75</v>
      </c>
      <c r="AA19" s="4">
        <v>75</v>
      </c>
      <c r="AB19" s="4">
        <v>75</v>
      </c>
      <c r="AC19" s="4">
        <v>75</v>
      </c>
      <c r="AD19" s="4">
        <v>75</v>
      </c>
      <c r="AE19" s="4">
        <v>75</v>
      </c>
      <c r="AF19" s="4">
        <v>75</v>
      </c>
      <c r="AG19" s="4">
        <v>0</v>
      </c>
      <c r="AH19" s="4">
        <v>75</v>
      </c>
      <c r="AI19" s="4">
        <v>75</v>
      </c>
      <c r="AJ19" s="4">
        <v>75</v>
      </c>
      <c r="AK19" s="4">
        <v>0</v>
      </c>
      <c r="AL19" s="4">
        <v>0</v>
      </c>
      <c r="AM19" s="4">
        <v>0</v>
      </c>
      <c r="AN19" s="4">
        <v>45</v>
      </c>
      <c r="AO19" s="4">
        <v>45</v>
      </c>
      <c r="AP19" s="4">
        <v>45</v>
      </c>
      <c r="AQ19" s="4">
        <v>45</v>
      </c>
      <c r="AR19" s="4">
        <v>45</v>
      </c>
      <c r="AS19" s="4">
        <v>45</v>
      </c>
      <c r="AT19" s="4">
        <v>45</v>
      </c>
      <c r="AU19" s="4">
        <v>75</v>
      </c>
      <c r="AV19" s="4">
        <v>37</v>
      </c>
      <c r="AW19" s="4">
        <v>37</v>
      </c>
      <c r="AX19" s="4">
        <v>75</v>
      </c>
      <c r="AY19" s="39">
        <v>75</v>
      </c>
      <c r="AZ19" s="1"/>
      <c r="BA19" s="1"/>
    </row>
    <row r="20" spans="3:53" x14ac:dyDescent="0.25">
      <c r="C20" s="49">
        <v>10</v>
      </c>
      <c r="D20" s="44" t="s">
        <v>42</v>
      </c>
      <c r="E20" s="46">
        <v>82881</v>
      </c>
      <c r="F20" s="46">
        <v>4977.6499999999996</v>
      </c>
      <c r="G20" s="46">
        <v>5363185491.2200003</v>
      </c>
      <c r="H20" s="58">
        <v>10</v>
      </c>
      <c r="I20" s="53">
        <f t="shared" si="0"/>
        <v>5.8090554006742009E-3</v>
      </c>
      <c r="J20" s="53">
        <f>SUM($I$11:I20)</f>
        <v>0.98316214302215266</v>
      </c>
      <c r="K20" s="103">
        <v>1</v>
      </c>
      <c r="L20" s="53"/>
      <c r="Q20" s="1"/>
      <c r="R20" s="185"/>
      <c r="S20" s="3">
        <v>10</v>
      </c>
      <c r="T20" s="4">
        <v>75</v>
      </c>
      <c r="U20" s="4">
        <v>75</v>
      </c>
      <c r="V20" s="4">
        <v>75</v>
      </c>
      <c r="W20" s="4">
        <v>0</v>
      </c>
      <c r="X20" s="4">
        <v>0</v>
      </c>
      <c r="Y20" s="4">
        <v>0</v>
      </c>
      <c r="Z20" s="4">
        <v>75</v>
      </c>
      <c r="AA20" s="4">
        <v>75</v>
      </c>
      <c r="AB20" s="4">
        <v>75</v>
      </c>
      <c r="AC20" s="4">
        <v>75</v>
      </c>
      <c r="AD20" s="4">
        <v>75</v>
      </c>
      <c r="AE20" s="4">
        <v>75</v>
      </c>
      <c r="AF20" s="4">
        <v>75</v>
      </c>
      <c r="AG20" s="4">
        <v>0</v>
      </c>
      <c r="AH20" s="4">
        <v>75</v>
      </c>
      <c r="AI20" s="4">
        <v>75</v>
      </c>
      <c r="AJ20" s="4">
        <v>75</v>
      </c>
      <c r="AK20" s="4">
        <v>0</v>
      </c>
      <c r="AL20" s="4">
        <v>0</v>
      </c>
      <c r="AM20" s="4">
        <v>0</v>
      </c>
      <c r="AN20" s="4">
        <v>45</v>
      </c>
      <c r="AO20" s="4">
        <v>45</v>
      </c>
      <c r="AP20" s="4">
        <v>45</v>
      </c>
      <c r="AQ20" s="4">
        <v>45</v>
      </c>
      <c r="AR20" s="4">
        <v>40</v>
      </c>
      <c r="AS20" s="4">
        <v>40</v>
      </c>
      <c r="AT20" s="4">
        <v>40</v>
      </c>
      <c r="AU20" s="4">
        <v>75</v>
      </c>
      <c r="AV20" s="4">
        <v>37</v>
      </c>
      <c r="AW20" s="4">
        <v>37</v>
      </c>
      <c r="AX20" s="4">
        <v>75</v>
      </c>
      <c r="AY20" s="39">
        <v>75</v>
      </c>
      <c r="AZ20" s="1"/>
      <c r="BA20" s="1"/>
    </row>
    <row r="21" spans="3:53" ht="15.75" thickBot="1" x14ac:dyDescent="0.3">
      <c r="C21" s="49" t="s">
        <v>46</v>
      </c>
      <c r="D21" s="44" t="s">
        <v>43</v>
      </c>
      <c r="E21" s="46">
        <v>240235</v>
      </c>
      <c r="F21" s="46">
        <v>6936.42</v>
      </c>
      <c r="G21" s="46">
        <v>21662831049.599998</v>
      </c>
      <c r="H21" s="58" t="s">
        <v>46</v>
      </c>
      <c r="I21" s="53">
        <f t="shared" si="0"/>
        <v>1.6837856977847357E-2</v>
      </c>
      <c r="J21" s="53">
        <f>SUM($I$11:I21)</f>
        <v>1</v>
      </c>
      <c r="K21" s="103">
        <v>1</v>
      </c>
      <c r="L21" s="53"/>
      <c r="Q21" s="1"/>
      <c r="R21" s="186"/>
      <c r="S21" s="40" t="s">
        <v>0</v>
      </c>
      <c r="T21" s="41">
        <v>75</v>
      </c>
      <c r="U21" s="41">
        <v>75</v>
      </c>
      <c r="V21" s="41">
        <v>75</v>
      </c>
      <c r="W21" s="41">
        <v>0</v>
      </c>
      <c r="X21" s="41">
        <v>0</v>
      </c>
      <c r="Y21" s="41">
        <v>0</v>
      </c>
      <c r="Z21" s="41">
        <v>75</v>
      </c>
      <c r="AA21" s="41">
        <v>75</v>
      </c>
      <c r="AB21" s="41">
        <v>75</v>
      </c>
      <c r="AC21" s="41">
        <v>75</v>
      </c>
      <c r="AD21" s="41">
        <v>75</v>
      </c>
      <c r="AE21" s="41">
        <v>75</v>
      </c>
      <c r="AF21" s="41">
        <v>75</v>
      </c>
      <c r="AG21" s="41">
        <v>0</v>
      </c>
      <c r="AH21" s="41">
        <v>75</v>
      </c>
      <c r="AI21" s="41">
        <v>75</v>
      </c>
      <c r="AJ21" s="41">
        <v>75</v>
      </c>
      <c r="AK21" s="41">
        <v>0</v>
      </c>
      <c r="AL21" s="41">
        <v>0</v>
      </c>
      <c r="AM21" s="41">
        <v>0</v>
      </c>
      <c r="AN21" s="41">
        <v>45</v>
      </c>
      <c r="AO21" s="41">
        <v>45</v>
      </c>
      <c r="AP21" s="41">
        <v>45</v>
      </c>
      <c r="AQ21" s="41">
        <v>45</v>
      </c>
      <c r="AR21" s="41">
        <v>40</v>
      </c>
      <c r="AS21" s="41">
        <v>40</v>
      </c>
      <c r="AT21" s="41">
        <v>40</v>
      </c>
      <c r="AU21" s="41">
        <v>75</v>
      </c>
      <c r="AV21" s="41">
        <v>32</v>
      </c>
      <c r="AW21" s="41">
        <v>22</v>
      </c>
      <c r="AX21" s="41">
        <v>75</v>
      </c>
      <c r="AY21" s="42">
        <v>75</v>
      </c>
      <c r="AZ21" s="1"/>
      <c r="BA21" s="1"/>
    </row>
    <row r="22" spans="3:53" ht="15.75" thickTop="1" x14ac:dyDescent="0.25">
      <c r="C22" s="47"/>
      <c r="D22" s="45" t="s">
        <v>44</v>
      </c>
      <c r="E22" s="43">
        <v>14267552</v>
      </c>
      <c r="F22" s="43">
        <v>33033.589999999997</v>
      </c>
      <c r="G22" s="43">
        <v>292733184912.07001</v>
      </c>
      <c r="I22" s="53">
        <f t="shared" si="0"/>
        <v>1</v>
      </c>
      <c r="J22" s="52"/>
      <c r="K22" s="53"/>
      <c r="L22" s="53"/>
    </row>
    <row r="23" spans="3:53" ht="15.75" thickBot="1" x14ac:dyDescent="0.3"/>
    <row r="24" spans="3:53" ht="15.75" thickTop="1" x14ac:dyDescent="0.25">
      <c r="T24" s="189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88"/>
      <c r="AV24" s="198"/>
      <c r="AW24" s="199"/>
      <c r="AX24" s="88"/>
      <c r="AY24" s="88"/>
    </row>
    <row r="25" spans="3:53" ht="15" customHeight="1" x14ac:dyDescent="0.25">
      <c r="H25" s="183"/>
      <c r="I25" s="184"/>
      <c r="J25" s="184"/>
      <c r="K25" s="184"/>
      <c r="L25" s="184"/>
      <c r="M25" s="184"/>
      <c r="R25" s="202" t="s">
        <v>1</v>
      </c>
      <c r="S25" s="3">
        <v>1</v>
      </c>
      <c r="T25" s="117">
        <f>T11*$K11</f>
        <v>100</v>
      </c>
      <c r="U25" s="117">
        <f t="shared" ref="U25:AJ25" si="1">U11*$K11</f>
        <v>100</v>
      </c>
      <c r="V25" s="117">
        <f t="shared" si="1"/>
        <v>100</v>
      </c>
      <c r="W25" s="117">
        <f t="shared" si="1"/>
        <v>100</v>
      </c>
      <c r="X25" s="117">
        <f t="shared" si="1"/>
        <v>100</v>
      </c>
      <c r="Y25" s="117">
        <f t="shared" si="1"/>
        <v>100</v>
      </c>
      <c r="Z25" s="117">
        <f t="shared" si="1"/>
        <v>100</v>
      </c>
      <c r="AA25" s="117">
        <f t="shared" si="1"/>
        <v>100</v>
      </c>
      <c r="AB25" s="117">
        <f>AB11*$K11</f>
        <v>100</v>
      </c>
      <c r="AC25" s="117">
        <f t="shared" si="1"/>
        <v>100</v>
      </c>
      <c r="AD25" s="117">
        <f t="shared" si="1"/>
        <v>100</v>
      </c>
      <c r="AE25" s="117">
        <f t="shared" si="1"/>
        <v>100</v>
      </c>
      <c r="AF25" s="117">
        <f t="shared" si="1"/>
        <v>100</v>
      </c>
      <c r="AG25" s="117">
        <f t="shared" si="1"/>
        <v>100</v>
      </c>
      <c r="AH25" s="117">
        <f t="shared" si="1"/>
        <v>100</v>
      </c>
      <c r="AI25" s="117">
        <f t="shared" si="1"/>
        <v>100</v>
      </c>
      <c r="AJ25" s="117">
        <f t="shared" si="1"/>
        <v>100</v>
      </c>
      <c r="AK25" s="117">
        <f>AK11*$K11</f>
        <v>100</v>
      </c>
      <c r="AL25" s="117">
        <f t="shared" ref="AL25:AT25" si="2">AL11*$K11</f>
        <v>100</v>
      </c>
      <c r="AM25" s="117">
        <f t="shared" si="2"/>
        <v>100</v>
      </c>
      <c r="AN25" s="117">
        <f t="shared" si="2"/>
        <v>100</v>
      </c>
      <c r="AO25" s="117">
        <f t="shared" si="2"/>
        <v>100</v>
      </c>
      <c r="AP25" s="117">
        <f t="shared" si="2"/>
        <v>100</v>
      </c>
      <c r="AQ25" s="117">
        <f t="shared" si="2"/>
        <v>100</v>
      </c>
      <c r="AR25" s="117">
        <f t="shared" si="2"/>
        <v>100</v>
      </c>
      <c r="AS25" s="117">
        <f t="shared" si="2"/>
        <v>100</v>
      </c>
      <c r="AT25" s="117">
        <f t="shared" si="2"/>
        <v>100</v>
      </c>
      <c r="AU25" s="117">
        <f>AU11*$K11</f>
        <v>100</v>
      </c>
      <c r="AV25" s="117">
        <f t="shared" ref="AV25:AW35" si="3">AV11*$K11</f>
        <v>100</v>
      </c>
      <c r="AW25" s="117">
        <f t="shared" si="3"/>
        <v>100</v>
      </c>
      <c r="AX25" s="117">
        <f>AX11*$K11</f>
        <v>100</v>
      </c>
      <c r="AY25" s="117">
        <f>AY11*$K11</f>
        <v>100</v>
      </c>
    </row>
    <row r="26" spans="3:53" x14ac:dyDescent="0.25">
      <c r="R26" s="203"/>
      <c r="S26" s="3">
        <v>2</v>
      </c>
      <c r="T26" s="117">
        <f>(1/1.5*T11+0.5/1.5*T12)*$K12</f>
        <v>99.999999999999986</v>
      </c>
      <c r="U26" s="117">
        <f t="shared" ref="U26:AJ26" si="4">(1/1.5*U11+0.5/1.5*U12)*$K12</f>
        <v>99.999999999999986</v>
      </c>
      <c r="V26" s="117">
        <f t="shared" si="4"/>
        <v>99.999999999999986</v>
      </c>
      <c r="W26" s="117">
        <f t="shared" si="4"/>
        <v>99.999999999999986</v>
      </c>
      <c r="X26" s="117">
        <f t="shared" si="4"/>
        <v>99.999999999999986</v>
      </c>
      <c r="Y26" s="117">
        <f t="shared" si="4"/>
        <v>99.999999999999986</v>
      </c>
      <c r="Z26" s="117">
        <f t="shared" si="4"/>
        <v>99.999999999999986</v>
      </c>
      <c r="AA26" s="117">
        <f t="shared" si="4"/>
        <v>99.999999999999986</v>
      </c>
      <c r="AB26" s="117">
        <f>(1/1.5*AB11+0.5/1.5*AB12)*$K12</f>
        <v>99.999999999999986</v>
      </c>
      <c r="AC26" s="117">
        <f t="shared" si="4"/>
        <v>99.999999999999986</v>
      </c>
      <c r="AD26" s="117">
        <f t="shared" si="4"/>
        <v>99.999999999999986</v>
      </c>
      <c r="AE26" s="117">
        <f t="shared" si="4"/>
        <v>99.999999999999986</v>
      </c>
      <c r="AF26" s="117">
        <f t="shared" si="4"/>
        <v>99.999999999999986</v>
      </c>
      <c r="AG26" s="117">
        <f t="shared" si="4"/>
        <v>99.999999999999986</v>
      </c>
      <c r="AH26" s="117">
        <f t="shared" si="4"/>
        <v>99.999999999999986</v>
      </c>
      <c r="AI26" s="117">
        <f t="shared" si="4"/>
        <v>99.999999999999986</v>
      </c>
      <c r="AJ26" s="117">
        <f t="shared" si="4"/>
        <v>99.999999999999986</v>
      </c>
      <c r="AK26" s="117">
        <f t="shared" ref="AK26:AT35" si="5">AK12*$K12</f>
        <v>100</v>
      </c>
      <c r="AL26" s="117">
        <f t="shared" si="5"/>
        <v>100</v>
      </c>
      <c r="AM26" s="117">
        <f t="shared" si="5"/>
        <v>100</v>
      </c>
      <c r="AN26" s="117">
        <f t="shared" si="5"/>
        <v>100</v>
      </c>
      <c r="AO26" s="117">
        <f t="shared" si="5"/>
        <v>100</v>
      </c>
      <c r="AP26" s="117">
        <f t="shared" si="5"/>
        <v>100</v>
      </c>
      <c r="AQ26" s="117">
        <f t="shared" si="5"/>
        <v>100</v>
      </c>
      <c r="AR26" s="117">
        <f t="shared" si="5"/>
        <v>100</v>
      </c>
      <c r="AS26" s="117">
        <f t="shared" si="5"/>
        <v>100</v>
      </c>
      <c r="AT26" s="117">
        <f t="shared" si="5"/>
        <v>100</v>
      </c>
      <c r="AU26" s="117">
        <f>(1/1.5*AU11+0.5/1.5*AU12)*$K12</f>
        <v>99.999999999999986</v>
      </c>
      <c r="AV26" s="117">
        <f t="shared" si="3"/>
        <v>100</v>
      </c>
      <c r="AW26" s="117">
        <f t="shared" si="3"/>
        <v>100</v>
      </c>
      <c r="AX26" s="117">
        <f>(1/1.5*AX11+0.5/1.5*AX12)*$K12</f>
        <v>99.999999999999986</v>
      </c>
      <c r="AY26" s="117">
        <f>(1/1.5*AY11+0.5/1.5*AY12)*$K12</f>
        <v>99.999999999999986</v>
      </c>
    </row>
    <row r="27" spans="3:53" x14ac:dyDescent="0.25">
      <c r="R27" s="203"/>
      <c r="S27" s="3">
        <v>3</v>
      </c>
      <c r="T27" s="117">
        <f>(1/2.5*T11+1/2.5*T12+0.5/2.5*T13)*$K13</f>
        <v>98</v>
      </c>
      <c r="U27" s="117">
        <f t="shared" ref="U27:AJ27" si="6">(1/2.5*U11+1/2.5*U12+0.5/2.5*U13)*$K13</f>
        <v>98</v>
      </c>
      <c r="V27" s="117">
        <f t="shared" si="6"/>
        <v>98</v>
      </c>
      <c r="W27" s="117">
        <f t="shared" si="6"/>
        <v>98</v>
      </c>
      <c r="X27" s="117">
        <f t="shared" si="6"/>
        <v>98</v>
      </c>
      <c r="Y27" s="117">
        <f t="shared" si="6"/>
        <v>98</v>
      </c>
      <c r="Z27" s="117">
        <f t="shared" si="6"/>
        <v>100</v>
      </c>
      <c r="AA27" s="117">
        <f t="shared" si="6"/>
        <v>100</v>
      </c>
      <c r="AB27" s="117">
        <f t="shared" si="6"/>
        <v>100</v>
      </c>
      <c r="AC27" s="117">
        <f t="shared" si="6"/>
        <v>100</v>
      </c>
      <c r="AD27" s="117">
        <f t="shared" si="6"/>
        <v>100</v>
      </c>
      <c r="AE27" s="117">
        <f t="shared" si="6"/>
        <v>100</v>
      </c>
      <c r="AF27" s="117">
        <f t="shared" si="6"/>
        <v>100</v>
      </c>
      <c r="AG27" s="117">
        <f t="shared" si="6"/>
        <v>100</v>
      </c>
      <c r="AH27" s="117">
        <f t="shared" si="6"/>
        <v>100</v>
      </c>
      <c r="AI27" s="117">
        <f t="shared" si="6"/>
        <v>100</v>
      </c>
      <c r="AJ27" s="117">
        <f t="shared" si="6"/>
        <v>100</v>
      </c>
      <c r="AK27" s="117">
        <f t="shared" si="5"/>
        <v>100</v>
      </c>
      <c r="AL27" s="117">
        <f t="shared" si="5"/>
        <v>100</v>
      </c>
      <c r="AM27" s="117">
        <f t="shared" si="5"/>
        <v>100</v>
      </c>
      <c r="AN27" s="117">
        <f t="shared" si="5"/>
        <v>100</v>
      </c>
      <c r="AO27" s="117">
        <f t="shared" si="5"/>
        <v>100</v>
      </c>
      <c r="AP27" s="117">
        <f t="shared" si="5"/>
        <v>100</v>
      </c>
      <c r="AQ27" s="117">
        <f t="shared" si="5"/>
        <v>100</v>
      </c>
      <c r="AR27" s="117">
        <f t="shared" si="5"/>
        <v>100</v>
      </c>
      <c r="AS27" s="117">
        <f t="shared" si="5"/>
        <v>100</v>
      </c>
      <c r="AT27" s="117">
        <f t="shared" si="5"/>
        <v>100</v>
      </c>
      <c r="AU27" s="117">
        <f>(1/2.5*AU11+1/2.5*AU12+0.5/2.5*AU13)*$K13</f>
        <v>100</v>
      </c>
      <c r="AV27" s="117">
        <f t="shared" si="3"/>
        <v>100</v>
      </c>
      <c r="AW27" s="117">
        <f t="shared" si="3"/>
        <v>100</v>
      </c>
      <c r="AX27" s="117">
        <f>(1/2.5*AX11+1/2.5*AX12+0.5/2.5*AX13)*$K13</f>
        <v>100</v>
      </c>
      <c r="AY27" s="117">
        <f>(1/2.5*AY11+1/2.5*AY12+0.5/2.5*AY13)*$K13</f>
        <v>100</v>
      </c>
    </row>
    <row r="28" spans="3:53" x14ac:dyDescent="0.25">
      <c r="R28" s="203"/>
      <c r="S28" s="3">
        <v>4</v>
      </c>
      <c r="T28" s="117">
        <f>(1/3.5*T11+1/3.5*T12+1/3.5*T13+0.5/3.5*T14)*$K14</f>
        <v>93.571428571428555</v>
      </c>
      <c r="U28" s="117">
        <f t="shared" ref="U28:AJ28" si="7">(1/3.5*U11+1/3.5*U12+1/3.5*U13+0.5/3.5*U14)*$K14</f>
        <v>93.571428571428555</v>
      </c>
      <c r="V28" s="117">
        <f t="shared" si="7"/>
        <v>93.571428571428555</v>
      </c>
      <c r="W28" s="117">
        <f t="shared" si="7"/>
        <v>93.571428571428555</v>
      </c>
      <c r="X28" s="117">
        <f t="shared" si="7"/>
        <v>93.571428571428555</v>
      </c>
      <c r="Y28" s="117">
        <f t="shared" si="7"/>
        <v>93.571428571428555</v>
      </c>
      <c r="Z28" s="117">
        <f t="shared" si="7"/>
        <v>98.571428571428569</v>
      </c>
      <c r="AA28" s="117">
        <f t="shared" si="7"/>
        <v>98.571428571428569</v>
      </c>
      <c r="AB28" s="117">
        <f t="shared" si="7"/>
        <v>98.571428571428569</v>
      </c>
      <c r="AC28" s="117">
        <f t="shared" si="7"/>
        <v>98.571428571428569</v>
      </c>
      <c r="AD28" s="117">
        <f t="shared" si="7"/>
        <v>98.571428571428569</v>
      </c>
      <c r="AE28" s="117">
        <f t="shared" si="7"/>
        <v>98.571428571428569</v>
      </c>
      <c r="AF28" s="117">
        <f t="shared" si="7"/>
        <v>98.571428571428569</v>
      </c>
      <c r="AG28" s="117">
        <f t="shared" si="7"/>
        <v>100</v>
      </c>
      <c r="AH28" s="117">
        <f t="shared" si="7"/>
        <v>100</v>
      </c>
      <c r="AI28" s="117">
        <f t="shared" si="7"/>
        <v>100</v>
      </c>
      <c r="AJ28" s="117">
        <f t="shared" si="7"/>
        <v>98.571428571428569</v>
      </c>
      <c r="AK28" s="117">
        <f t="shared" si="5"/>
        <v>40</v>
      </c>
      <c r="AL28" s="117">
        <f>AL14*$K14</f>
        <v>40</v>
      </c>
      <c r="AM28" s="117">
        <f t="shared" si="5"/>
        <v>95</v>
      </c>
      <c r="AN28" s="117">
        <f t="shared" si="5"/>
        <v>95</v>
      </c>
      <c r="AO28" s="117">
        <f t="shared" si="5"/>
        <v>95</v>
      </c>
      <c r="AP28" s="117">
        <f t="shared" si="5"/>
        <v>95</v>
      </c>
      <c r="AQ28" s="117">
        <f t="shared" si="5"/>
        <v>95</v>
      </c>
      <c r="AR28" s="117">
        <f t="shared" si="5"/>
        <v>97</v>
      </c>
      <c r="AS28" s="117">
        <f t="shared" si="5"/>
        <v>100</v>
      </c>
      <c r="AT28" s="117">
        <f t="shared" si="5"/>
        <v>100</v>
      </c>
      <c r="AU28" s="117">
        <f>(1/3.5*AU11+1/3.5*AU12+1/3.5*AU13+0.5/3.5*AU14)*$K14</f>
        <v>100</v>
      </c>
      <c r="AV28" s="117">
        <f t="shared" si="3"/>
        <v>100</v>
      </c>
      <c r="AW28" s="117">
        <f t="shared" si="3"/>
        <v>100</v>
      </c>
      <c r="AX28" s="117">
        <f>(1/3.5*AX11+1/3.5*AX12+1/3.5*AX13+0.5/3.5*AX14)*$K14</f>
        <v>100</v>
      </c>
      <c r="AY28" s="117">
        <f>(1/3.5*AY11+1/3.5*AY12+1/3.5*AY13+0.5/3.5*AY14)*$K14</f>
        <v>100</v>
      </c>
    </row>
    <row r="29" spans="3:53" x14ac:dyDescent="0.25">
      <c r="R29" s="203"/>
      <c r="S29" s="3">
        <v>5</v>
      </c>
      <c r="T29" s="117">
        <f>(1/4.5*T11+1/4.5*T12+1/4.5*T13+1/4.5*T14+0.5/4.5*T15)*$K15</f>
        <v>89.444444444444443</v>
      </c>
      <c r="U29" s="117">
        <f t="shared" ref="U29:AJ29" si="8">(1/4.5*U11+1/4.5*U12+1/4.5*U13+1/4.5*U14+0.5/4.5*U15)*$K15</f>
        <v>89.444444444444443</v>
      </c>
      <c r="V29" s="117">
        <f t="shared" si="8"/>
        <v>89.444444444444443</v>
      </c>
      <c r="W29" s="117">
        <v>0</v>
      </c>
      <c r="X29" s="117">
        <f t="shared" si="8"/>
        <v>89.444444444444443</v>
      </c>
      <c r="Y29" s="117">
        <f t="shared" si="8"/>
        <v>89.444444444444443</v>
      </c>
      <c r="Z29" s="117">
        <f t="shared" si="8"/>
        <v>96.666666666666657</v>
      </c>
      <c r="AA29" s="117">
        <f t="shared" si="8"/>
        <v>96.666666666666657</v>
      </c>
      <c r="AB29" s="117">
        <f t="shared" si="8"/>
        <v>96.666666666666657</v>
      </c>
      <c r="AC29" s="117">
        <f t="shared" si="8"/>
        <v>96.666666666666657</v>
      </c>
      <c r="AD29" s="117">
        <f t="shared" si="8"/>
        <v>96.666666666666657</v>
      </c>
      <c r="AE29" s="117">
        <f t="shared" si="8"/>
        <v>96.666666666666657</v>
      </c>
      <c r="AF29" s="117">
        <f t="shared" si="8"/>
        <v>96.666666666666657</v>
      </c>
      <c r="AG29" s="117">
        <f t="shared" si="8"/>
        <v>100</v>
      </c>
      <c r="AH29" s="117">
        <f t="shared" si="8"/>
        <v>100</v>
      </c>
      <c r="AI29" s="117">
        <f t="shared" si="8"/>
        <v>100</v>
      </c>
      <c r="AJ29" s="117">
        <f t="shared" si="8"/>
        <v>96.666666666666657</v>
      </c>
      <c r="AK29" s="117">
        <f t="shared" si="5"/>
        <v>20</v>
      </c>
      <c r="AL29" s="117">
        <f t="shared" si="5"/>
        <v>20</v>
      </c>
      <c r="AM29" s="117">
        <f t="shared" si="5"/>
        <v>75</v>
      </c>
      <c r="AN29" s="117">
        <f t="shared" si="5"/>
        <v>75</v>
      </c>
      <c r="AO29" s="117">
        <f t="shared" si="5"/>
        <v>75</v>
      </c>
      <c r="AP29" s="117">
        <f t="shared" si="5"/>
        <v>75</v>
      </c>
      <c r="AQ29" s="117">
        <f t="shared" si="5"/>
        <v>75</v>
      </c>
      <c r="AR29" s="117">
        <f t="shared" si="5"/>
        <v>77</v>
      </c>
      <c r="AS29" s="117">
        <f t="shared" si="5"/>
        <v>77</v>
      </c>
      <c r="AT29" s="117">
        <f t="shared" si="5"/>
        <v>77</v>
      </c>
      <c r="AU29" s="117">
        <f>(1/4.5*AU11+1/4.5*AU12+1/4.5*AU13+1/4.5*AU14+0.5/4.5*AU15)*$K15</f>
        <v>98.888888888888886</v>
      </c>
      <c r="AV29" s="117">
        <f t="shared" si="3"/>
        <v>85</v>
      </c>
      <c r="AW29" s="117">
        <f t="shared" si="3"/>
        <v>85</v>
      </c>
      <c r="AX29" s="117">
        <f>(1/4.5*AX11+1/4.5*AX12+1/4.5*AX13+1/4.5*AX14+0.5/4.5*AX15)*$K15</f>
        <v>98.888888888888886</v>
      </c>
      <c r="AY29" s="117">
        <f>(1/4.5*AY11+1/4.5*AY12+1/4.5*AY13+1/4.5*AY14+0.5/4.5*AY15)*$K15</f>
        <v>98.888888888888886</v>
      </c>
    </row>
    <row r="30" spans="3:53" x14ac:dyDescent="0.25">
      <c r="R30" s="203"/>
      <c r="S30" s="3">
        <v>6</v>
      </c>
      <c r="T30" s="117">
        <f>(1/5.5*T11+1/5.5*T12+1/5.5*T13+1/5.5*T14+1/5.5*T15+0.5/5.5*T16)*$K16</f>
        <v>86.818181818181827</v>
      </c>
      <c r="U30" s="117">
        <f t="shared" ref="U30:AJ30" si="9">(1/5.5*U11+1/5.5*U12+1/5.5*U13+1/5.5*U14+1/5.5*U15+0.5/5.5*U16)*$K16</f>
        <v>86.818181818181827</v>
      </c>
      <c r="V30" s="117">
        <f t="shared" si="9"/>
        <v>86.818181818181827</v>
      </c>
      <c r="W30" s="117">
        <v>0</v>
      </c>
      <c r="X30" s="117">
        <f t="shared" si="9"/>
        <v>82.727272727272748</v>
      </c>
      <c r="Y30" s="117">
        <f t="shared" si="9"/>
        <v>82.727272727272748</v>
      </c>
      <c r="Z30" s="117">
        <f t="shared" si="9"/>
        <v>94.090909090909079</v>
      </c>
      <c r="AA30" s="117">
        <f t="shared" si="9"/>
        <v>94.090909090909079</v>
      </c>
      <c r="AB30" s="117">
        <f t="shared" si="9"/>
        <v>94.090909090909079</v>
      </c>
      <c r="AC30" s="117">
        <f t="shared" si="9"/>
        <v>94.090909090909079</v>
      </c>
      <c r="AD30" s="117">
        <f t="shared" si="9"/>
        <v>94.090909090909079</v>
      </c>
      <c r="AE30" s="117">
        <f t="shared" si="9"/>
        <v>94.090909090909079</v>
      </c>
      <c r="AF30" s="117">
        <f t="shared" si="9"/>
        <v>94.090909090909079</v>
      </c>
      <c r="AG30" s="117">
        <f t="shared" si="9"/>
        <v>97.727272727272734</v>
      </c>
      <c r="AH30" s="117">
        <f t="shared" si="9"/>
        <v>97.727272727272734</v>
      </c>
      <c r="AI30" s="117">
        <f t="shared" si="9"/>
        <v>97.727272727272734</v>
      </c>
      <c r="AJ30" s="117">
        <f t="shared" si="9"/>
        <v>94.090909090909079</v>
      </c>
      <c r="AK30" s="117">
        <f t="shared" si="5"/>
        <v>10</v>
      </c>
      <c r="AL30" s="117">
        <f t="shared" si="5"/>
        <v>10</v>
      </c>
      <c r="AM30" s="117">
        <f t="shared" si="5"/>
        <v>50</v>
      </c>
      <c r="AN30" s="117">
        <f t="shared" si="5"/>
        <v>50</v>
      </c>
      <c r="AO30" s="117">
        <f t="shared" si="5"/>
        <v>50</v>
      </c>
      <c r="AP30" s="117">
        <f t="shared" si="5"/>
        <v>50</v>
      </c>
      <c r="AQ30" s="117">
        <f t="shared" si="5"/>
        <v>50</v>
      </c>
      <c r="AR30" s="117">
        <f t="shared" si="5"/>
        <v>52</v>
      </c>
      <c r="AS30" s="117">
        <f t="shared" si="5"/>
        <v>52</v>
      </c>
      <c r="AT30" s="117">
        <f t="shared" si="5"/>
        <v>52</v>
      </c>
      <c r="AU30" s="117">
        <f>(1/5.5*AU11+1/5.5*AU12+1/5.5*AU13+1/5.5*AU14+1/5.5*AU15+0.5/5.5*AU16)*$K16</f>
        <v>95.909090909090907</v>
      </c>
      <c r="AV30" s="117">
        <f t="shared" si="3"/>
        <v>53</v>
      </c>
      <c r="AW30" s="117">
        <f t="shared" si="3"/>
        <v>53</v>
      </c>
      <c r="AX30" s="117">
        <f>(1/5.5*AX11+1/5.5*AX12+1/5.5*AX13+1/5.5*AX14+1/5.5*AX15+0.5/5.5*AX16)*$K16</f>
        <v>95.909090909090907</v>
      </c>
      <c r="AY30" s="117">
        <f>(1/5.5*AY11+1/5.5*AY12+1/5.5*AY13+1/5.5*AY14+1/5.5*AY15+0.5/5.5*AY16)*$K16</f>
        <v>95.909090909090907</v>
      </c>
    </row>
    <row r="31" spans="3:53" x14ac:dyDescent="0.25">
      <c r="R31" s="203"/>
      <c r="S31" s="3">
        <v>7</v>
      </c>
      <c r="T31" s="117">
        <f>(1/6.5*T11+1/6.5*T12+1/6.5*T13+1/6.5*T14+1/6.5*T15+1/6.5*T16+0.5/6.5*T17)*$K17</f>
        <v>85</v>
      </c>
      <c r="U31" s="117">
        <f t="shared" ref="U31:AJ31" si="10">(1/6.5*U11+1/6.5*U12+1/6.5*U13+1/6.5*U14+1/6.5*U15+1/6.5*U16+0.5/6.5*U17)*$K17</f>
        <v>85</v>
      </c>
      <c r="V31" s="117">
        <f t="shared" si="10"/>
        <v>85</v>
      </c>
      <c r="W31" s="117">
        <v>0</v>
      </c>
      <c r="X31" s="117">
        <f t="shared" si="10"/>
        <v>74.615384615384613</v>
      </c>
      <c r="Y31" s="117">
        <f t="shared" si="10"/>
        <v>74.615384615384613</v>
      </c>
      <c r="Z31" s="117">
        <f t="shared" si="10"/>
        <v>91.153846153846146</v>
      </c>
      <c r="AA31" s="117">
        <f t="shared" si="10"/>
        <v>91.153846153846146</v>
      </c>
      <c r="AB31" s="117">
        <f t="shared" si="10"/>
        <v>91.153846153846146</v>
      </c>
      <c r="AC31" s="117">
        <f t="shared" si="10"/>
        <v>91.153846153846146</v>
      </c>
      <c r="AD31" s="117">
        <f t="shared" si="10"/>
        <v>91.153846153846146</v>
      </c>
      <c r="AE31" s="117">
        <f t="shared" si="10"/>
        <v>91.153846153846146</v>
      </c>
      <c r="AF31" s="117">
        <f t="shared" si="10"/>
        <v>91.153846153846146</v>
      </c>
      <c r="AG31" s="117">
        <f t="shared" si="10"/>
        <v>94.230769230769226</v>
      </c>
      <c r="AH31" s="117">
        <f t="shared" si="10"/>
        <v>94.230769230769226</v>
      </c>
      <c r="AI31" s="117">
        <f t="shared" si="10"/>
        <v>94.230769230769226</v>
      </c>
      <c r="AJ31" s="117">
        <f t="shared" si="10"/>
        <v>91.153846153846146</v>
      </c>
      <c r="AK31" s="117">
        <f t="shared" si="5"/>
        <v>0</v>
      </c>
      <c r="AL31" s="117">
        <f t="shared" si="5"/>
        <v>0</v>
      </c>
      <c r="AM31" s="117">
        <f t="shared" si="5"/>
        <v>40</v>
      </c>
      <c r="AN31" s="117">
        <f t="shared" si="5"/>
        <v>45</v>
      </c>
      <c r="AO31" s="117">
        <f t="shared" si="5"/>
        <v>45</v>
      </c>
      <c r="AP31" s="117">
        <f t="shared" si="5"/>
        <v>45</v>
      </c>
      <c r="AQ31" s="117">
        <f t="shared" si="5"/>
        <v>45</v>
      </c>
      <c r="AR31" s="117">
        <f t="shared" si="5"/>
        <v>47</v>
      </c>
      <c r="AS31" s="117">
        <f t="shared" si="5"/>
        <v>47</v>
      </c>
      <c r="AT31" s="117">
        <f t="shared" si="5"/>
        <v>47</v>
      </c>
      <c r="AU31" s="117">
        <f>(1/6.5*AU11+1/6.5*AU12+1/6.5*AU13+1/6.5*AU14+1/6.5*AU15+1/6.5*AU16+0.5/6.5*AU17)*$K17</f>
        <v>92.692307692307693</v>
      </c>
      <c r="AV31" s="117">
        <f t="shared" si="3"/>
        <v>47</v>
      </c>
      <c r="AW31" s="117">
        <f t="shared" si="3"/>
        <v>47</v>
      </c>
      <c r="AX31" s="117">
        <f>(1/6.5*AX11+1/6.5*AX12+1/6.5*AX13+1/6.5*AX14+1/6.5*AX15+1/6.5*AX16+0.5/6.5*AX17)*$K17</f>
        <v>92.692307692307693</v>
      </c>
      <c r="AY31" s="117">
        <f>(1/6.5*AY11+1/6.5*AY12+1/6.5*AY13+1/6.5*AY14+1/6.5*AY15+1/6.5*AY16+0.5/6.5*AY17)*$K17</f>
        <v>92.692307692307693</v>
      </c>
    </row>
    <row r="32" spans="3:53" x14ac:dyDescent="0.25">
      <c r="R32" s="203"/>
      <c r="S32" s="3">
        <v>8</v>
      </c>
      <c r="T32" s="117">
        <f>(1/7.5*T11+1/7.5*T12+1/7.5*T13+1/7.5*T14+1/7.5*T15+1/7.5*T16+1/7.5*T17+0.5/7.5*T18)*$K18</f>
        <v>83.666666666666671</v>
      </c>
      <c r="U32" s="117">
        <f t="shared" ref="U32:AJ32" si="11">(1/7.5*U11+1/7.5*U12+1/7.5*U13+1/7.5*U14+1/7.5*U15+1/7.5*U16+1/7.5*U17+0.5/7.5*U18)*$K18</f>
        <v>83.666666666666671</v>
      </c>
      <c r="V32" s="117">
        <f t="shared" si="11"/>
        <v>83.666666666666671</v>
      </c>
      <c r="W32" s="117">
        <v>0</v>
      </c>
      <c r="X32" s="117">
        <f t="shared" si="11"/>
        <v>68.666666666666671</v>
      </c>
      <c r="Y32" s="117">
        <f t="shared" si="11"/>
        <v>68.666666666666671</v>
      </c>
      <c r="Z32" s="117">
        <f t="shared" si="11"/>
        <v>89</v>
      </c>
      <c r="AA32" s="117">
        <f t="shared" si="11"/>
        <v>89</v>
      </c>
      <c r="AB32" s="117">
        <f t="shared" si="11"/>
        <v>89</v>
      </c>
      <c r="AC32" s="117">
        <f t="shared" si="11"/>
        <v>89</v>
      </c>
      <c r="AD32" s="117">
        <f t="shared" si="11"/>
        <v>89</v>
      </c>
      <c r="AE32" s="117">
        <f t="shared" si="11"/>
        <v>89</v>
      </c>
      <c r="AF32" s="117">
        <f t="shared" si="11"/>
        <v>89</v>
      </c>
      <c r="AG32" s="117">
        <f t="shared" si="11"/>
        <v>91.666666666666671</v>
      </c>
      <c r="AH32" s="117">
        <f t="shared" si="11"/>
        <v>91.666666666666671</v>
      </c>
      <c r="AI32" s="117">
        <f t="shared" si="11"/>
        <v>91.666666666666671</v>
      </c>
      <c r="AJ32" s="117">
        <f t="shared" si="11"/>
        <v>89</v>
      </c>
      <c r="AK32" s="117">
        <f t="shared" si="5"/>
        <v>0</v>
      </c>
      <c r="AL32" s="117">
        <f t="shared" si="5"/>
        <v>0</v>
      </c>
      <c r="AM32" s="117">
        <f t="shared" si="5"/>
        <v>0</v>
      </c>
      <c r="AN32" s="117">
        <f t="shared" si="5"/>
        <v>45</v>
      </c>
      <c r="AO32" s="117">
        <f t="shared" si="5"/>
        <v>45</v>
      </c>
      <c r="AP32" s="117">
        <f t="shared" si="5"/>
        <v>45</v>
      </c>
      <c r="AQ32" s="117">
        <f t="shared" si="5"/>
        <v>45</v>
      </c>
      <c r="AR32" s="117">
        <f t="shared" si="5"/>
        <v>47</v>
      </c>
      <c r="AS32" s="117">
        <f t="shared" si="5"/>
        <v>47</v>
      </c>
      <c r="AT32" s="117">
        <f t="shared" si="5"/>
        <v>47</v>
      </c>
      <c r="AU32" s="117">
        <f>(1/7.5*AU11+1/7.5*AU12+1/7.5*AU13+1/7.5*AU14+1/7.5*AU15+1/7.5*AU16+1/7.5*AU17+0.5/7.5*AU18)*$K18</f>
        <v>90.333333333333343</v>
      </c>
      <c r="AV32" s="117">
        <f t="shared" si="3"/>
        <v>47</v>
      </c>
      <c r="AW32" s="117">
        <f t="shared" si="3"/>
        <v>47</v>
      </c>
      <c r="AX32" s="117">
        <f>(1/7.5*AX11+1/7.5*AX12+1/7.5*AX13+1/7.5*AX14+1/7.5*AX15+1/7.5*AX16+1/7.5*AX17+0.5/7.5*AX18)*$K18</f>
        <v>90.333333333333343</v>
      </c>
      <c r="AY32" s="117">
        <f>(1/7.5*AY11+1/7.5*AY12+1/7.5*AY13+1/7.5*AY14+1/7.5*AY15+1/7.5*AY16+1/7.5*AY17+0.5/7.5*AY18)*$K18</f>
        <v>90.333333333333343</v>
      </c>
    </row>
    <row r="33" spans="16:52" x14ac:dyDescent="0.25">
      <c r="R33" s="203"/>
      <c r="S33" s="3">
        <v>9</v>
      </c>
      <c r="T33" s="117">
        <f>(1/8.5*T11+1/8.5*T12+1/8.5*T13+1/8.5*T14+1/8.5*T15+1/8.5*T16+1/8.5*T17+1/8.5*T18+0.5/8.5*T19)*$K19</f>
        <v>82.64705882352942</v>
      </c>
      <c r="U33" s="117">
        <f t="shared" ref="U33:AJ33" si="12">(1/8.5*U11+1/8.5*U12+1/8.5*U13+1/8.5*U14+1/8.5*U15+1/8.5*U16+1/8.5*U17+1/8.5*U18+0.5/8.5*U19)*$K19</f>
        <v>82.64705882352942</v>
      </c>
      <c r="V33" s="117">
        <f t="shared" si="12"/>
        <v>82.64705882352942</v>
      </c>
      <c r="W33" s="117">
        <v>0</v>
      </c>
      <c r="X33" s="117">
        <f t="shared" si="12"/>
        <v>62.352941176470594</v>
      </c>
      <c r="Y33" s="117">
        <f t="shared" si="12"/>
        <v>62.352941176470594</v>
      </c>
      <c r="Z33" s="117">
        <f t="shared" si="12"/>
        <v>87.35294117647058</v>
      </c>
      <c r="AA33" s="117">
        <f t="shared" si="12"/>
        <v>87.35294117647058</v>
      </c>
      <c r="AB33" s="117">
        <f t="shared" si="12"/>
        <v>87.35294117647058</v>
      </c>
      <c r="AC33" s="117">
        <f t="shared" si="12"/>
        <v>87.35294117647058</v>
      </c>
      <c r="AD33" s="117">
        <f t="shared" si="12"/>
        <v>87.35294117647058</v>
      </c>
      <c r="AE33" s="117">
        <f t="shared" si="12"/>
        <v>87.35294117647058</v>
      </c>
      <c r="AF33" s="117">
        <f t="shared" si="12"/>
        <v>87.35294117647058</v>
      </c>
      <c r="AG33" s="117">
        <v>0</v>
      </c>
      <c r="AH33" s="117">
        <f t="shared" si="12"/>
        <v>89.705882352941174</v>
      </c>
      <c r="AI33" s="117">
        <f t="shared" si="12"/>
        <v>89.705882352941174</v>
      </c>
      <c r="AJ33" s="117">
        <f t="shared" si="12"/>
        <v>87.35294117647058</v>
      </c>
      <c r="AK33" s="117">
        <f t="shared" si="5"/>
        <v>0</v>
      </c>
      <c r="AL33" s="117">
        <f t="shared" si="5"/>
        <v>0</v>
      </c>
      <c r="AM33" s="117">
        <f t="shared" si="5"/>
        <v>0</v>
      </c>
      <c r="AN33" s="117">
        <f t="shared" si="5"/>
        <v>45</v>
      </c>
      <c r="AO33" s="117">
        <f t="shared" si="5"/>
        <v>45</v>
      </c>
      <c r="AP33" s="117">
        <f t="shared" si="5"/>
        <v>45</v>
      </c>
      <c r="AQ33" s="117">
        <f t="shared" si="5"/>
        <v>45</v>
      </c>
      <c r="AR33" s="117">
        <f t="shared" si="5"/>
        <v>45</v>
      </c>
      <c r="AS33" s="117">
        <f t="shared" si="5"/>
        <v>45</v>
      </c>
      <c r="AT33" s="117">
        <f t="shared" si="5"/>
        <v>45</v>
      </c>
      <c r="AU33" s="117">
        <f>(1/8.5*AU11+1/8.5*AU12+1/8.5*AU13+1/8.5*AU14+1/8.5*AU15+1/8.5*AU16+1/8.5*AU17+1/8.5*AU18+0.5/8.5*AU19)*$K19</f>
        <v>88.529411764705884</v>
      </c>
      <c r="AV33" s="117">
        <f t="shared" si="3"/>
        <v>37</v>
      </c>
      <c r="AW33" s="117">
        <f t="shared" si="3"/>
        <v>37</v>
      </c>
      <c r="AX33" s="117">
        <f>(1/8.5*AX11+1/8.5*AX12+1/8.5*AX13+1/8.5*AX14+1/8.5*AX15+1/8.5*AX16+1/8.5*AX17+1/8.5*AX18+0.5/8.5*AX19)*$K19</f>
        <v>88.529411764705884</v>
      </c>
      <c r="AY33" s="117">
        <f>(1/8.5*AY11+1/8.5*AY12+1/8.5*AY13+1/8.5*AY14+1/8.5*AY15+1/8.5*AY16+1/8.5*AY17+1/8.5*AY18+0.5/8.5*AY19)*$K19</f>
        <v>88.529411764705884</v>
      </c>
    </row>
    <row r="34" spans="16:52" x14ac:dyDescent="0.25">
      <c r="R34" s="203"/>
      <c r="S34" s="3">
        <v>10</v>
      </c>
      <c r="T34" s="117">
        <f>(1/9.5*T11+1/9.5*T12+1/9.5*T13+1/9.5*T14+1/9.5*T15+1/9.5*T16+1/9.5*T17+1/9.5*T18+1/9.5*T19+0.5/9.5*T20)*$K20</f>
        <v>81.842105263157876</v>
      </c>
      <c r="U34" s="117">
        <f t="shared" ref="U34:AJ34" si="13">(1/9.5*U11+1/9.5*U12+1/9.5*U13+1/9.5*U14+1/9.5*U15+1/9.5*U16+1/9.5*U17+1/9.5*U18+1/9.5*U19+0.5/9.5*U20)*$K20</f>
        <v>81.842105263157876</v>
      </c>
      <c r="V34" s="117">
        <f t="shared" si="13"/>
        <v>81.842105263157876</v>
      </c>
      <c r="W34" s="117">
        <v>0</v>
      </c>
      <c r="X34" s="117">
        <f t="shared" si="13"/>
        <v>55.789473684210513</v>
      </c>
      <c r="Y34" s="117">
        <f t="shared" si="13"/>
        <v>55.789473684210513</v>
      </c>
      <c r="Z34" s="117">
        <f t="shared" si="13"/>
        <v>86.052631578947356</v>
      </c>
      <c r="AA34" s="117">
        <f t="shared" si="13"/>
        <v>86.052631578947356</v>
      </c>
      <c r="AB34" s="117">
        <f t="shared" si="13"/>
        <v>86.052631578947356</v>
      </c>
      <c r="AC34" s="117">
        <f t="shared" si="13"/>
        <v>86.052631578947356</v>
      </c>
      <c r="AD34" s="117">
        <f t="shared" si="13"/>
        <v>86.052631578947356</v>
      </c>
      <c r="AE34" s="117">
        <f t="shared" si="13"/>
        <v>86.052631578947356</v>
      </c>
      <c r="AF34" s="117">
        <f t="shared" si="13"/>
        <v>86.052631578947356</v>
      </c>
      <c r="AG34" s="117">
        <v>0</v>
      </c>
      <c r="AH34" s="117">
        <f t="shared" si="13"/>
        <v>88.157894736842096</v>
      </c>
      <c r="AI34" s="117">
        <f t="shared" si="13"/>
        <v>88.157894736842096</v>
      </c>
      <c r="AJ34" s="117">
        <f t="shared" si="13"/>
        <v>86.052631578947356</v>
      </c>
      <c r="AK34" s="117">
        <f t="shared" si="5"/>
        <v>0</v>
      </c>
      <c r="AL34" s="117">
        <f t="shared" si="5"/>
        <v>0</v>
      </c>
      <c r="AM34" s="117">
        <f t="shared" si="5"/>
        <v>0</v>
      </c>
      <c r="AN34" s="117">
        <f t="shared" si="5"/>
        <v>45</v>
      </c>
      <c r="AO34" s="117">
        <f t="shared" si="5"/>
        <v>45</v>
      </c>
      <c r="AP34" s="117">
        <f t="shared" si="5"/>
        <v>45</v>
      </c>
      <c r="AQ34" s="117">
        <f t="shared" si="5"/>
        <v>45</v>
      </c>
      <c r="AR34" s="117">
        <f t="shared" si="5"/>
        <v>40</v>
      </c>
      <c r="AS34" s="117">
        <f t="shared" si="5"/>
        <v>40</v>
      </c>
      <c r="AT34" s="117">
        <f t="shared" si="5"/>
        <v>40</v>
      </c>
      <c r="AU34" s="117">
        <f>(1/9.5*AU11+1/9.5*AU12+1/9.5*AU13+1/9.5*AU14+1/9.5*AU15+1/9.5*AU16+1/9.5*AU17+1/9.5*AU18+1/9.5*AU19+0.5/9.5*AU20)*$K20</f>
        <v>87.105263157894726</v>
      </c>
      <c r="AV34" s="117">
        <f t="shared" si="3"/>
        <v>37</v>
      </c>
      <c r="AW34" s="117">
        <f t="shared" si="3"/>
        <v>37</v>
      </c>
      <c r="AX34" s="117">
        <f>(1/9.5*AX11+1/9.5*AX12+1/9.5*AX13+1/9.5*AX14+1/9.5*AX15+1/9.5*AX16+1/9.5*AX17+1/9.5*AX18+1/9.5*AX19+0.5/9.5*AX20)*$K20</f>
        <v>87.105263157894726</v>
      </c>
      <c r="AY34" s="117">
        <f>(1/9.5*AY11+1/9.5*AY12+1/9.5*AY13+1/9.5*AY14+1/9.5*AY15+1/9.5*AY16+1/9.5*AY17+1/9.5*AY18+1/9.5*AY19+0.5/9.5*AY20)*$K20</f>
        <v>87.105263157894726</v>
      </c>
    </row>
    <row r="35" spans="16:52" ht="15.75" thickBot="1" x14ac:dyDescent="0.3">
      <c r="R35" s="204"/>
      <c r="S35" s="40" t="s">
        <v>0</v>
      </c>
      <c r="T35" s="117">
        <f>(1/10.5*T11+1/10.5*T12+1/10.5*T13+1/10.5*T14+1/10.5*T15+1/10.5*T16+1/10.5*T17+1/10.5*T18+1/10.5*T19+1/10.5*T20+0.5/10.5*T21)*$K21</f>
        <v>81.190476190476161</v>
      </c>
      <c r="U35" s="117">
        <f t="shared" ref="U35:AJ35" si="14">(1/10.5*U11+1/10.5*U12+1/10.5*U13+1/10.5*U14+1/10.5*U15+1/10.5*U16+1/10.5*U17+1/10.5*U18+1/10.5*U19+1/10.5*U20+0.5/10.5*U21)*$K21</f>
        <v>81.190476190476161</v>
      </c>
      <c r="V35" s="117">
        <f t="shared" si="14"/>
        <v>81.190476190476161</v>
      </c>
      <c r="W35" s="117">
        <v>0</v>
      </c>
      <c r="X35" s="117">
        <f t="shared" si="14"/>
        <v>50.47619047619046</v>
      </c>
      <c r="Y35" s="117">
        <f t="shared" si="14"/>
        <v>50.47619047619046</v>
      </c>
      <c r="Z35" s="117">
        <f t="shared" si="14"/>
        <v>84.999999999999972</v>
      </c>
      <c r="AA35" s="117">
        <f t="shared" si="14"/>
        <v>84.999999999999972</v>
      </c>
      <c r="AB35" s="117">
        <f t="shared" si="14"/>
        <v>84.999999999999972</v>
      </c>
      <c r="AC35" s="117">
        <f t="shared" si="14"/>
        <v>84.999999999999972</v>
      </c>
      <c r="AD35" s="117">
        <f t="shared" si="14"/>
        <v>84.999999999999972</v>
      </c>
      <c r="AE35" s="117">
        <f t="shared" si="14"/>
        <v>84.999999999999972</v>
      </c>
      <c r="AF35" s="117">
        <f t="shared" si="14"/>
        <v>84.999999999999972</v>
      </c>
      <c r="AG35" s="117">
        <v>0</v>
      </c>
      <c r="AH35" s="117">
        <f t="shared" si="14"/>
        <v>86.904761904761884</v>
      </c>
      <c r="AI35" s="117">
        <f t="shared" si="14"/>
        <v>86.904761904761884</v>
      </c>
      <c r="AJ35" s="117">
        <f t="shared" si="14"/>
        <v>84.999999999999972</v>
      </c>
      <c r="AK35" s="117">
        <f t="shared" si="5"/>
        <v>0</v>
      </c>
      <c r="AL35" s="117">
        <f t="shared" si="5"/>
        <v>0</v>
      </c>
      <c r="AM35" s="117">
        <f t="shared" si="5"/>
        <v>0</v>
      </c>
      <c r="AN35" s="117">
        <f t="shared" si="5"/>
        <v>45</v>
      </c>
      <c r="AO35" s="117">
        <f t="shared" si="5"/>
        <v>45</v>
      </c>
      <c r="AP35" s="117">
        <f t="shared" si="5"/>
        <v>45</v>
      </c>
      <c r="AQ35" s="117">
        <f t="shared" si="5"/>
        <v>45</v>
      </c>
      <c r="AR35" s="117">
        <f t="shared" si="5"/>
        <v>40</v>
      </c>
      <c r="AS35" s="117">
        <f t="shared" si="5"/>
        <v>40</v>
      </c>
      <c r="AT35" s="117">
        <f t="shared" si="5"/>
        <v>40</v>
      </c>
      <c r="AU35" s="117">
        <f>(1/10.5*AU11+1/10.5*AU12+1/10.5*AU13+1/10.5*AU14+1/10.5*AU15+1/10.5*AU16+1/10.5*AU17+1/10.5*AU18+1/10.5*AU19+1/10.5*AU20+0.5/10.5*AU21)*$K21</f>
        <v>85.952380952380935</v>
      </c>
      <c r="AV35" s="117">
        <f t="shared" si="3"/>
        <v>32</v>
      </c>
      <c r="AW35" s="117">
        <f t="shared" si="3"/>
        <v>22</v>
      </c>
      <c r="AX35" s="117">
        <f>(1/10.5*AX11+1/10.5*AX12+1/10.5*AX13+1/10.5*AX14+1/10.5*AX15+1/10.5*AX16+1/10.5*AX17+1/10.5*AX18+1/10.5*AX19+1/10.5*AX20+0.5/10.5*AX21)*$K21</f>
        <v>85.952380952380935</v>
      </c>
      <c r="AY35" s="117">
        <f>(1/10.5*AY11+1/10.5*AY12+1/10.5*AY13+1/10.5*AY14+1/10.5*AY15+1/10.5*AY16+1/10.5*AY17+1/10.5*AY18+1/10.5*AY19+1/10.5*AY20+0.5/10.5*AY21)*$K21</f>
        <v>85.952380952380935</v>
      </c>
      <c r="AZ35" s="58"/>
    </row>
    <row r="36" spans="16:52" ht="15.75" thickTop="1" x14ac:dyDescent="0.25"/>
    <row r="37" spans="16:52" x14ac:dyDescent="0.25">
      <c r="T37" s="68">
        <v>1995</v>
      </c>
      <c r="U37" s="68">
        <v>1996</v>
      </c>
      <c r="V37" s="68">
        <v>1997</v>
      </c>
      <c r="W37" s="68">
        <v>1998</v>
      </c>
      <c r="X37" s="68">
        <v>1999</v>
      </c>
      <c r="Y37" s="68">
        <v>2000</v>
      </c>
      <c r="Z37" s="68">
        <v>2001</v>
      </c>
      <c r="AA37" s="68">
        <v>2002</v>
      </c>
      <c r="AB37" s="68">
        <v>2003</v>
      </c>
      <c r="AC37" s="68">
        <v>2004</v>
      </c>
      <c r="AD37" s="68">
        <v>2005</v>
      </c>
      <c r="AE37" s="68">
        <v>2006</v>
      </c>
      <c r="AF37" s="68">
        <v>2007</v>
      </c>
      <c r="AG37" s="68">
        <v>2008</v>
      </c>
      <c r="AH37" s="68">
        <v>2009</v>
      </c>
      <c r="AI37" s="68">
        <v>2010</v>
      </c>
      <c r="AJ37" s="68">
        <v>2011</v>
      </c>
      <c r="AK37" s="68">
        <v>2012</v>
      </c>
      <c r="AL37" s="68">
        <v>2013</v>
      </c>
      <c r="AM37" s="68">
        <v>2014</v>
      </c>
      <c r="AN37" s="68">
        <v>2015</v>
      </c>
      <c r="AO37" s="68">
        <v>2016</v>
      </c>
      <c r="AP37" s="68">
        <v>2017</v>
      </c>
      <c r="AQ37" s="68">
        <v>2018</v>
      </c>
      <c r="AR37" s="68">
        <v>2019</v>
      </c>
      <c r="AS37" s="68">
        <v>2020</v>
      </c>
      <c r="AT37" s="68">
        <v>2021</v>
      </c>
      <c r="AU37" s="68">
        <v>2022</v>
      </c>
      <c r="AV37" s="68">
        <v>2023</v>
      </c>
      <c r="AW37" s="68">
        <v>2024</v>
      </c>
      <c r="AX37" s="68">
        <v>2025</v>
      </c>
      <c r="AY37" s="68" t="s">
        <v>52</v>
      </c>
    </row>
    <row r="38" spans="16:52" x14ac:dyDescent="0.25">
      <c r="P38" s="76" t="s">
        <v>84</v>
      </c>
      <c r="S38" s="47" t="s">
        <v>53</v>
      </c>
      <c r="T38" s="47">
        <v>5.4</v>
      </c>
      <c r="U38" s="47">
        <v>3.9</v>
      </c>
      <c r="V38" s="77">
        <v>1.7</v>
      </c>
      <c r="W38" s="77">
        <v>1.8</v>
      </c>
      <c r="X38" s="77">
        <v>1.6</v>
      </c>
      <c r="Y38" s="77">
        <v>2.6</v>
      </c>
      <c r="Z38" s="77">
        <v>2.7</v>
      </c>
      <c r="AA38" s="77">
        <v>2.4</v>
      </c>
      <c r="AB38" s="77">
        <v>2.5</v>
      </c>
      <c r="AC38" s="77">
        <v>2</v>
      </c>
      <c r="AD38" s="77">
        <v>1.7</v>
      </c>
      <c r="AE38" s="77">
        <v>2</v>
      </c>
      <c r="AF38" s="77">
        <v>1.7</v>
      </c>
      <c r="AG38" s="77">
        <v>3.2</v>
      </c>
      <c r="AH38" s="77">
        <v>0.7</v>
      </c>
      <c r="AI38" s="77">
        <v>1.6</v>
      </c>
      <c r="AJ38" s="77">
        <v>2.7</v>
      </c>
      <c r="AK38" s="77">
        <v>3</v>
      </c>
      <c r="AL38" s="77">
        <v>1.1000000000000001</v>
      </c>
      <c r="AM38" s="77">
        <v>0.2</v>
      </c>
      <c r="AN38" s="77">
        <v>-0.1</v>
      </c>
      <c r="AO38" s="77">
        <v>-0.1</v>
      </c>
      <c r="AP38" s="77">
        <v>1.1000000000000001</v>
      </c>
      <c r="AQ38" s="77">
        <v>1.1000000000000001</v>
      </c>
      <c r="AR38" s="77">
        <v>0.5</v>
      </c>
      <c r="AS38" s="77">
        <v>-0.3</v>
      </c>
      <c r="AT38" s="77">
        <v>1.9</v>
      </c>
      <c r="AU38" s="77">
        <v>8.1</v>
      </c>
      <c r="AV38" s="77">
        <v>5.4</v>
      </c>
      <c r="AW38" s="77">
        <v>0.8</v>
      </c>
      <c r="AX38" s="47"/>
      <c r="AY38" s="47"/>
    </row>
    <row r="39" spans="16:52" x14ac:dyDescent="0.25">
      <c r="S39" s="47" t="s">
        <v>53</v>
      </c>
      <c r="T39" s="47">
        <v>5.4</v>
      </c>
      <c r="U39" s="47">
        <v>3.9</v>
      </c>
      <c r="V39" s="77">
        <v>1.7</v>
      </c>
      <c r="W39" s="77">
        <v>1.8</v>
      </c>
      <c r="X39" s="77">
        <v>1.6</v>
      </c>
      <c r="Y39" s="77">
        <v>2.6</v>
      </c>
      <c r="Z39" s="77">
        <v>2.7</v>
      </c>
      <c r="AA39" s="77">
        <v>2.4</v>
      </c>
      <c r="AB39" s="77">
        <v>2.5</v>
      </c>
      <c r="AC39" s="77">
        <v>2</v>
      </c>
      <c r="AD39" s="77">
        <v>1.7</v>
      </c>
      <c r="AE39" s="77">
        <v>2</v>
      </c>
      <c r="AF39" s="77">
        <v>1.7</v>
      </c>
      <c r="AG39" s="77">
        <v>3.2</v>
      </c>
      <c r="AH39" s="77">
        <v>0.7</v>
      </c>
      <c r="AI39" s="77">
        <v>1.6</v>
      </c>
      <c r="AJ39" s="77">
        <v>2.7</v>
      </c>
      <c r="AK39" s="77">
        <v>3</v>
      </c>
      <c r="AL39" s="77">
        <v>1.1000000000000001</v>
      </c>
      <c r="AM39" s="77">
        <v>0.2</v>
      </c>
      <c r="AN39" s="77"/>
      <c r="AO39" s="77"/>
      <c r="AP39" s="77">
        <v>1.1000000000000001</v>
      </c>
      <c r="AQ39" s="77">
        <v>1.1000000000000001</v>
      </c>
      <c r="AR39" s="77">
        <v>0.5</v>
      </c>
      <c r="AS39" s="77"/>
      <c r="AT39" s="77">
        <v>1.9</v>
      </c>
      <c r="AU39" s="77">
        <v>8.1</v>
      </c>
      <c r="AV39" s="77">
        <v>5.4</v>
      </c>
      <c r="AW39" s="77">
        <v>0.8</v>
      </c>
      <c r="AX39" s="47"/>
      <c r="AY39" s="47"/>
    </row>
    <row r="40" spans="16:52" x14ac:dyDescent="0.25">
      <c r="T40" s="114">
        <v>5.4</v>
      </c>
      <c r="U40" s="114">
        <v>3.9</v>
      </c>
      <c r="V40" s="114">
        <v>1.7</v>
      </c>
      <c r="W40" s="114">
        <v>1.8</v>
      </c>
      <c r="X40" s="114">
        <v>1.6</v>
      </c>
      <c r="Y40" s="114">
        <v>2.6</v>
      </c>
      <c r="Z40" s="114">
        <v>2.7</v>
      </c>
      <c r="AA40" s="114">
        <v>2.4</v>
      </c>
      <c r="AB40" s="114">
        <v>2.5</v>
      </c>
      <c r="AC40" s="114">
        <v>2</v>
      </c>
      <c r="AD40" s="114">
        <v>1.7</v>
      </c>
      <c r="AE40" s="114">
        <v>2</v>
      </c>
      <c r="AF40" s="114">
        <v>1.7</v>
      </c>
      <c r="AG40" s="114">
        <v>3.2</v>
      </c>
      <c r="AH40" s="114">
        <v>0.7</v>
      </c>
      <c r="AI40" s="114">
        <v>1.6</v>
      </c>
      <c r="AJ40" s="114">
        <v>2.7</v>
      </c>
      <c r="AK40" s="114">
        <v>3</v>
      </c>
      <c r="AL40" s="114">
        <v>1.1000000000000001</v>
      </c>
      <c r="AM40" s="114">
        <v>0.2</v>
      </c>
      <c r="AN40" s="114">
        <v>-0.1</v>
      </c>
      <c r="AO40" s="114">
        <v>-0.1</v>
      </c>
      <c r="AP40" s="114">
        <v>1.1000000000000001</v>
      </c>
      <c r="AQ40" s="114">
        <v>1.1000000000000001</v>
      </c>
      <c r="AR40" s="114">
        <v>0.5</v>
      </c>
      <c r="AS40" s="114">
        <v>-0.3</v>
      </c>
      <c r="AT40" s="114">
        <v>1.9</v>
      </c>
      <c r="AU40" s="114">
        <v>8.1</v>
      </c>
      <c r="AV40" s="114">
        <v>5.4</v>
      </c>
      <c r="AW40" s="114">
        <v>0.8</v>
      </c>
      <c r="AX40" s="47"/>
      <c r="AY40" s="47"/>
    </row>
    <row r="41" spans="16:52" x14ac:dyDescent="0.25">
      <c r="T41" s="111">
        <v>1995</v>
      </c>
      <c r="U41" s="111">
        <v>1996</v>
      </c>
      <c r="V41" s="111">
        <v>1997</v>
      </c>
      <c r="W41" s="111">
        <v>1998</v>
      </c>
      <c r="X41" s="111">
        <v>1999</v>
      </c>
      <c r="Y41" s="111">
        <v>2000</v>
      </c>
      <c r="Z41" s="111">
        <v>2001</v>
      </c>
      <c r="AA41" s="111">
        <v>2002</v>
      </c>
      <c r="AB41" s="111">
        <v>2003</v>
      </c>
      <c r="AC41" s="111">
        <v>2004</v>
      </c>
      <c r="AD41" s="111">
        <v>2005</v>
      </c>
      <c r="AE41" s="111">
        <v>2006</v>
      </c>
      <c r="AF41" s="111">
        <v>2007</v>
      </c>
      <c r="AG41" s="111">
        <v>2008</v>
      </c>
      <c r="AH41" s="111">
        <v>2009</v>
      </c>
      <c r="AI41" s="111">
        <v>2010</v>
      </c>
      <c r="AJ41" s="111">
        <v>2011</v>
      </c>
      <c r="AK41" s="111">
        <v>2012</v>
      </c>
      <c r="AL41" s="111">
        <v>2013</v>
      </c>
      <c r="AM41" s="111">
        <v>2014</v>
      </c>
      <c r="AN41" s="111">
        <v>2015</v>
      </c>
      <c r="AO41" s="111">
        <v>2016</v>
      </c>
      <c r="AP41" s="111">
        <v>2017</v>
      </c>
      <c r="AQ41" s="111">
        <v>2018</v>
      </c>
      <c r="AR41" s="111">
        <v>2019</v>
      </c>
      <c r="AS41" s="111">
        <v>2020</v>
      </c>
      <c r="AT41" s="111">
        <v>2021</v>
      </c>
      <c r="AU41" s="111">
        <v>2022</v>
      </c>
      <c r="AV41" s="111">
        <v>2023</v>
      </c>
      <c r="AW41" s="111">
        <v>2024</v>
      </c>
      <c r="AX41" s="111">
        <v>2025</v>
      </c>
      <c r="AY41" s="111">
        <v>2026</v>
      </c>
    </row>
    <row r="42" spans="16:52" ht="15" customHeight="1" x14ac:dyDescent="0.25">
      <c r="Q42" s="205" t="s">
        <v>162</v>
      </c>
      <c r="R42" s="200" t="s">
        <v>1</v>
      </c>
      <c r="S42" s="3">
        <v>1</v>
      </c>
      <c r="T42" s="112">
        <v>1</v>
      </c>
      <c r="U42" s="112">
        <f>T42*(1+U25%*T$39%)</f>
        <v>1.054</v>
      </c>
      <c r="V42" s="112">
        <f>U42*(1+V25%*U$39%)</f>
        <v>1.0951059999999999</v>
      </c>
      <c r="W42" s="112">
        <f>V42*(1+W25%*V$39%)</f>
        <v>1.1137228019999998</v>
      </c>
      <c r="X42" s="112">
        <f t="shared" ref="V42:AX51" si="15">W42*(1+X25%*W$39%)</f>
        <v>1.1337698124359998</v>
      </c>
      <c r="Y42" s="112">
        <f t="shared" si="15"/>
        <v>1.1519101294349758</v>
      </c>
      <c r="Z42" s="112">
        <f t="shared" si="15"/>
        <v>1.1818597928002852</v>
      </c>
      <c r="AA42" s="112">
        <f t="shared" si="15"/>
        <v>1.2137700072058928</v>
      </c>
      <c r="AB42" s="112">
        <f t="shared" si="15"/>
        <v>1.2429004873788343</v>
      </c>
      <c r="AC42" s="112">
        <f t="shared" si="15"/>
        <v>1.2739729995633051</v>
      </c>
      <c r="AD42" s="112">
        <f t="shared" si="15"/>
        <v>1.2994524595545713</v>
      </c>
      <c r="AE42" s="112">
        <f t="shared" si="15"/>
        <v>1.3215431513669988</v>
      </c>
      <c r="AF42" s="112">
        <f t="shared" si="15"/>
        <v>1.3479740143943388</v>
      </c>
      <c r="AG42" s="112">
        <f t="shared" si="15"/>
        <v>1.3708895726390424</v>
      </c>
      <c r="AH42" s="112">
        <f t="shared" si="15"/>
        <v>1.4147580389634917</v>
      </c>
      <c r="AI42" s="112">
        <f>AH42*(1+AI25%*AH$39%)</f>
        <v>1.424661345236236</v>
      </c>
      <c r="AJ42" s="112">
        <f t="shared" si="15"/>
        <v>1.4474559267600158</v>
      </c>
      <c r="AK42" s="112">
        <f t="shared" si="15"/>
        <v>1.486537236782536</v>
      </c>
      <c r="AL42" s="112">
        <f t="shared" si="15"/>
        <v>1.5311333538860121</v>
      </c>
      <c r="AM42" s="112">
        <f t="shared" si="15"/>
        <v>1.5479758207787582</v>
      </c>
      <c r="AN42" s="112">
        <f t="shared" si="15"/>
        <v>1.5510717724203158</v>
      </c>
      <c r="AO42" s="112">
        <f t="shared" si="15"/>
        <v>1.5510717724203158</v>
      </c>
      <c r="AP42" s="112">
        <f t="shared" si="15"/>
        <v>1.5510717724203158</v>
      </c>
      <c r="AQ42" s="112">
        <f t="shared" si="15"/>
        <v>1.5681335619169392</v>
      </c>
      <c r="AR42" s="112">
        <f t="shared" si="15"/>
        <v>1.5853830310980255</v>
      </c>
      <c r="AS42" s="112">
        <f t="shared" si="15"/>
        <v>1.5933099462535154</v>
      </c>
      <c r="AT42" s="112">
        <f t="shared" si="15"/>
        <v>1.5933099462535154</v>
      </c>
      <c r="AU42" s="112">
        <f t="shared" si="15"/>
        <v>1.623582835232332</v>
      </c>
      <c r="AV42" s="112">
        <f t="shared" si="15"/>
        <v>1.7550930448861508</v>
      </c>
      <c r="AW42" s="112">
        <f>AV42*(1+AW25%*AV$39%)</f>
        <v>1.8498680693100031</v>
      </c>
      <c r="AX42" s="112">
        <f>AW42*(1+AX25%*AW$39%)</f>
        <v>1.8646670138644832</v>
      </c>
      <c r="AY42" s="77"/>
    </row>
    <row r="43" spans="16:52" x14ac:dyDescent="0.25">
      <c r="Q43" s="205"/>
      <c r="R43" s="200"/>
      <c r="S43" s="3">
        <v>2</v>
      </c>
      <c r="T43" s="112">
        <v>1</v>
      </c>
      <c r="U43" s="112">
        <f>T43*(1+U26%*T$39%)</f>
        <v>1.054</v>
      </c>
      <c r="V43" s="112">
        <f t="shared" ref="U43:AJ51" si="16">U43*(1+V26%*U$39%)</f>
        <v>1.0951059999999999</v>
      </c>
      <c r="W43" s="112">
        <f t="shared" si="16"/>
        <v>1.1137228019999998</v>
      </c>
      <c r="X43" s="112">
        <f t="shared" si="16"/>
        <v>1.1337698124359998</v>
      </c>
      <c r="Y43" s="112">
        <f t="shared" si="16"/>
        <v>1.1519101294349758</v>
      </c>
      <c r="Z43" s="112">
        <f t="shared" si="16"/>
        <v>1.1818597928002852</v>
      </c>
      <c r="AA43" s="112">
        <f t="shared" si="16"/>
        <v>1.2137700072058928</v>
      </c>
      <c r="AB43" s="112">
        <f t="shared" si="16"/>
        <v>1.2429004873788343</v>
      </c>
      <c r="AC43" s="112">
        <f t="shared" si="16"/>
        <v>1.2739729995633051</v>
      </c>
      <c r="AD43" s="112">
        <f t="shared" si="16"/>
        <v>1.2994524595545713</v>
      </c>
      <c r="AE43" s="112">
        <f t="shared" si="16"/>
        <v>1.3215431513669988</v>
      </c>
      <c r="AF43" s="112">
        <f t="shared" si="16"/>
        <v>1.3479740143943388</v>
      </c>
      <c r="AG43" s="112">
        <f t="shared" si="16"/>
        <v>1.3708895726390424</v>
      </c>
      <c r="AH43" s="112">
        <f t="shared" si="16"/>
        <v>1.4147580389634917</v>
      </c>
      <c r="AI43" s="112">
        <f t="shared" si="16"/>
        <v>1.424661345236236</v>
      </c>
      <c r="AJ43" s="112">
        <f t="shared" si="16"/>
        <v>1.4474559267600158</v>
      </c>
      <c r="AK43" s="112">
        <f t="shared" si="15"/>
        <v>1.486537236782536</v>
      </c>
      <c r="AL43" s="112">
        <f t="shared" si="15"/>
        <v>1.5311333538860121</v>
      </c>
      <c r="AM43" s="112">
        <f t="shared" si="15"/>
        <v>1.5479758207787582</v>
      </c>
      <c r="AN43" s="112">
        <f t="shared" si="15"/>
        <v>1.5510717724203158</v>
      </c>
      <c r="AO43" s="112">
        <f t="shared" si="15"/>
        <v>1.5510717724203158</v>
      </c>
      <c r="AP43" s="112">
        <f t="shared" si="15"/>
        <v>1.5510717724203158</v>
      </c>
      <c r="AQ43" s="112">
        <f t="shared" si="15"/>
        <v>1.5681335619169392</v>
      </c>
      <c r="AR43" s="112">
        <f t="shared" si="15"/>
        <v>1.5853830310980255</v>
      </c>
      <c r="AS43" s="112">
        <f t="shared" si="15"/>
        <v>1.5933099462535154</v>
      </c>
      <c r="AT43" s="112">
        <f t="shared" si="15"/>
        <v>1.5933099462535154</v>
      </c>
      <c r="AU43" s="112">
        <f t="shared" si="15"/>
        <v>1.623582835232332</v>
      </c>
      <c r="AV43" s="112">
        <f t="shared" si="15"/>
        <v>1.7550930448861508</v>
      </c>
      <c r="AW43" s="112">
        <f t="shared" si="15"/>
        <v>1.8498680693100031</v>
      </c>
      <c r="AX43" s="112">
        <f t="shared" si="15"/>
        <v>1.8646670138644832</v>
      </c>
      <c r="AY43" s="77"/>
    </row>
    <row r="44" spans="16:52" x14ac:dyDescent="0.25">
      <c r="Q44" s="205"/>
      <c r="R44" s="200"/>
      <c r="S44" s="3">
        <v>3</v>
      </c>
      <c r="T44" s="112">
        <v>1</v>
      </c>
      <c r="U44" s="112">
        <f>T44*(1+U27%*T$39%)</f>
        <v>1.0529200000000001</v>
      </c>
      <c r="V44" s="112">
        <f t="shared" si="15"/>
        <v>1.0931626024000001</v>
      </c>
      <c r="W44" s="112">
        <f t="shared" si="15"/>
        <v>1.1113746913559839</v>
      </c>
      <c r="X44" s="112">
        <f t="shared" si="15"/>
        <v>1.1309793409115036</v>
      </c>
      <c r="Y44" s="112">
        <f t="shared" si="15"/>
        <v>1.1487130969769959</v>
      </c>
      <c r="Z44" s="112">
        <f t="shared" si="15"/>
        <v>1.1785796374983979</v>
      </c>
      <c r="AA44" s="112">
        <f t="shared" si="15"/>
        <v>1.2104012877108545</v>
      </c>
      <c r="AB44" s="112">
        <f t="shared" si="15"/>
        <v>1.2394509186159151</v>
      </c>
      <c r="AC44" s="112">
        <f t="shared" si="15"/>
        <v>1.2704371915813129</v>
      </c>
      <c r="AD44" s="112">
        <f t="shared" si="15"/>
        <v>1.2958459354129392</v>
      </c>
      <c r="AE44" s="112">
        <f t="shared" si="15"/>
        <v>1.317875316314959</v>
      </c>
      <c r="AF44" s="112">
        <f t="shared" si="15"/>
        <v>1.3442328226412583</v>
      </c>
      <c r="AG44" s="112">
        <f t="shared" si="15"/>
        <v>1.3670847806261597</v>
      </c>
      <c r="AH44" s="112">
        <f t="shared" si="15"/>
        <v>1.4108314936061968</v>
      </c>
      <c r="AI44" s="112">
        <f t="shared" si="15"/>
        <v>1.4207073140614399</v>
      </c>
      <c r="AJ44" s="112">
        <f t="shared" si="15"/>
        <v>1.4434386310864229</v>
      </c>
      <c r="AK44" s="112">
        <f t="shared" si="15"/>
        <v>1.4824114741257561</v>
      </c>
      <c r="AL44" s="112">
        <f t="shared" si="15"/>
        <v>1.5268838183495288</v>
      </c>
      <c r="AM44" s="112">
        <f t="shared" si="15"/>
        <v>1.5436795403513734</v>
      </c>
      <c r="AN44" s="112">
        <f t="shared" si="15"/>
        <v>1.5467668994320762</v>
      </c>
      <c r="AO44" s="112">
        <f t="shared" si="15"/>
        <v>1.5467668994320762</v>
      </c>
      <c r="AP44" s="112">
        <f t="shared" si="15"/>
        <v>1.5467668994320762</v>
      </c>
      <c r="AQ44" s="112">
        <f t="shared" si="15"/>
        <v>1.563781335325829</v>
      </c>
      <c r="AR44" s="112">
        <f t="shared" si="15"/>
        <v>1.5809829300144129</v>
      </c>
      <c r="AS44" s="112">
        <f t="shared" si="15"/>
        <v>1.5888878446644847</v>
      </c>
      <c r="AT44" s="112">
        <f t="shared" si="15"/>
        <v>1.5888878446644847</v>
      </c>
      <c r="AU44" s="112">
        <f t="shared" si="15"/>
        <v>1.6190767137131099</v>
      </c>
      <c r="AV44" s="112">
        <f t="shared" si="15"/>
        <v>1.7502219275238717</v>
      </c>
      <c r="AW44" s="112">
        <f t="shared" si="15"/>
        <v>1.8447339116101609</v>
      </c>
      <c r="AX44" s="112">
        <f t="shared" si="15"/>
        <v>1.8594917829030422</v>
      </c>
      <c r="AY44" s="77"/>
    </row>
    <row r="45" spans="16:52" x14ac:dyDescent="0.25">
      <c r="Q45" s="205"/>
      <c r="R45" s="200"/>
      <c r="S45" s="3">
        <v>4</v>
      </c>
      <c r="T45" s="112">
        <v>1</v>
      </c>
      <c r="U45" s="112">
        <f t="shared" si="16"/>
        <v>1.0505285714285715</v>
      </c>
      <c r="V45" s="112">
        <f t="shared" si="15"/>
        <v>1.0888653605102041</v>
      </c>
      <c r="W45" s="112">
        <f t="shared" si="15"/>
        <v>1.1061860973520343</v>
      </c>
      <c r="X45" s="112">
        <f t="shared" si="15"/>
        <v>1.1248174317631494</v>
      </c>
      <c r="Y45" s="112">
        <f t="shared" si="15"/>
        <v>1.1416575555986892</v>
      </c>
      <c r="Z45" s="112">
        <f t="shared" si="15"/>
        <v>1.1709166078093183</v>
      </c>
      <c r="AA45" s="112">
        <f t="shared" si="15"/>
        <v>1.2020797169571578</v>
      </c>
      <c r="AB45" s="112">
        <f t="shared" si="15"/>
        <v>1.230517488546887</v>
      </c>
      <c r="AC45" s="112">
        <f t="shared" si="15"/>
        <v>1.2608409552289355</v>
      </c>
      <c r="AD45" s="112">
        <f t="shared" si="15"/>
        <v>1.2856975340605916</v>
      </c>
      <c r="AE45" s="112">
        <f t="shared" si="15"/>
        <v>1.3072421513099213</v>
      </c>
      <c r="AF45" s="112">
        <f t="shared" si="15"/>
        <v>1.3330134965786027</v>
      </c>
      <c r="AG45" s="112">
        <f t="shared" si="15"/>
        <v>1.3556747260204387</v>
      </c>
      <c r="AH45" s="112">
        <f t="shared" si="15"/>
        <v>1.3990563172530928</v>
      </c>
      <c r="AI45" s="112">
        <f t="shared" si="15"/>
        <v>1.4088497114738643</v>
      </c>
      <c r="AJ45" s="112">
        <f t="shared" si="15"/>
        <v>1.431069284066252</v>
      </c>
      <c r="AK45" s="112">
        <f t="shared" si="15"/>
        <v>1.4465248323341675</v>
      </c>
      <c r="AL45" s="112">
        <f t="shared" si="15"/>
        <v>1.4638831303221775</v>
      </c>
      <c r="AM45" s="112">
        <f t="shared" si="15"/>
        <v>1.4791807090340443</v>
      </c>
      <c r="AN45" s="112">
        <f t="shared" si="15"/>
        <v>1.481991152381209</v>
      </c>
      <c r="AO45" s="112">
        <f t="shared" si="15"/>
        <v>1.481991152381209</v>
      </c>
      <c r="AP45" s="112">
        <f t="shared" si="15"/>
        <v>1.481991152381209</v>
      </c>
      <c r="AQ45" s="112">
        <f t="shared" si="15"/>
        <v>1.4974779599235928</v>
      </c>
      <c r="AR45" s="112">
        <f t="shared" si="15"/>
        <v>1.5134560497559775</v>
      </c>
      <c r="AS45" s="112">
        <f t="shared" si="15"/>
        <v>1.5210233300047571</v>
      </c>
      <c r="AT45" s="112">
        <f t="shared" si="15"/>
        <v>1.5210233300047571</v>
      </c>
      <c r="AU45" s="112">
        <f t="shared" si="15"/>
        <v>1.5499227732748473</v>
      </c>
      <c r="AV45" s="112">
        <f t="shared" si="15"/>
        <v>1.6754665179101098</v>
      </c>
      <c r="AW45" s="112">
        <f t="shared" si="15"/>
        <v>1.7659417098772558</v>
      </c>
      <c r="AX45" s="112">
        <f t="shared" si="15"/>
        <v>1.7800692435562739</v>
      </c>
      <c r="AY45" s="77"/>
    </row>
    <row r="46" spans="16:52" x14ac:dyDescent="0.25">
      <c r="Q46" s="205"/>
      <c r="R46" s="200"/>
      <c r="S46" s="3">
        <v>5</v>
      </c>
      <c r="T46" s="112">
        <v>1</v>
      </c>
      <c r="U46" s="112">
        <f t="shared" si="16"/>
        <v>1.0483</v>
      </c>
      <c r="V46" s="112">
        <f t="shared" si="15"/>
        <v>1.0848681983333335</v>
      </c>
      <c r="W46" s="112">
        <f>V46*(1+W29%*V$39%)</f>
        <v>1.0848681983333335</v>
      </c>
      <c r="X46" s="112">
        <f t="shared" si="15"/>
        <v>1.1023345763265002</v>
      </c>
      <c r="Y46" s="112">
        <f t="shared" si="15"/>
        <v>1.1181102089299284</v>
      </c>
      <c r="Z46" s="112">
        <f t="shared" si="15"/>
        <v>1.1462120455143672</v>
      </c>
      <c r="AA46" s="112">
        <f t="shared" si="15"/>
        <v>1.1761281799022922</v>
      </c>
      <c r="AB46" s="112">
        <f t="shared" si="15"/>
        <v>1.2034143536760256</v>
      </c>
      <c r="AC46" s="112">
        <f t="shared" si="15"/>
        <v>1.2324968672231962</v>
      </c>
      <c r="AD46" s="112">
        <f t="shared" si="15"/>
        <v>1.2563251399895115</v>
      </c>
      <c r="AE46" s="112">
        <f t="shared" si="15"/>
        <v>1.2769707497900058</v>
      </c>
      <c r="AF46" s="112">
        <f t="shared" si="15"/>
        <v>1.3016588509526128</v>
      </c>
      <c r="AG46" s="112">
        <f t="shared" si="15"/>
        <v>1.323787051418807</v>
      </c>
      <c r="AH46" s="112">
        <f t="shared" si="15"/>
        <v>1.3661482370642088</v>
      </c>
      <c r="AI46" s="112">
        <f t="shared" si="15"/>
        <v>1.3757112747236582</v>
      </c>
      <c r="AJ46" s="112">
        <f t="shared" si="15"/>
        <v>1.3969889424393842</v>
      </c>
      <c r="AK46" s="112">
        <f t="shared" si="15"/>
        <v>1.4045326827285569</v>
      </c>
      <c r="AL46" s="112">
        <f t="shared" si="15"/>
        <v>1.4129598788249282</v>
      </c>
      <c r="AM46" s="112">
        <f t="shared" si="15"/>
        <v>1.424616797825234</v>
      </c>
      <c r="AN46" s="112">
        <f t="shared" si="15"/>
        <v>1.426753723021972</v>
      </c>
      <c r="AO46" s="112">
        <f t="shared" si="15"/>
        <v>1.426753723021972</v>
      </c>
      <c r="AP46" s="112">
        <f t="shared" si="15"/>
        <v>1.426753723021972</v>
      </c>
      <c r="AQ46" s="112">
        <f t="shared" si="15"/>
        <v>1.4385244412369034</v>
      </c>
      <c r="AR46" s="112">
        <f t="shared" si="15"/>
        <v>1.4507087432541799</v>
      </c>
      <c r="AS46" s="112">
        <f t="shared" si="15"/>
        <v>1.4562939719157084</v>
      </c>
      <c r="AT46" s="112">
        <f t="shared" si="15"/>
        <v>1.4562939719157084</v>
      </c>
      <c r="AU46" s="112">
        <f t="shared" si="15"/>
        <v>1.4836561175435914</v>
      </c>
      <c r="AV46" s="112">
        <f t="shared" si="15"/>
        <v>1.5858058412364677</v>
      </c>
      <c r="AW46" s="112">
        <f t="shared" si="15"/>
        <v>1.6585943293492216</v>
      </c>
      <c r="AX46" s="112">
        <f t="shared" si="15"/>
        <v>1.6717156533769622</v>
      </c>
      <c r="AY46" s="77"/>
    </row>
    <row r="47" spans="16:52" x14ac:dyDescent="0.25">
      <c r="Q47" s="205"/>
      <c r="R47" s="200"/>
      <c r="S47" s="3">
        <v>6</v>
      </c>
      <c r="T47" s="112">
        <v>1</v>
      </c>
      <c r="U47" s="112">
        <f t="shared" si="16"/>
        <v>1.0468818181818182</v>
      </c>
      <c r="V47" s="112">
        <f t="shared" si="15"/>
        <v>1.0823282848347109</v>
      </c>
      <c r="W47" s="112">
        <f>V47*(1+W30%*V$39%)</f>
        <v>1.0823282848347109</v>
      </c>
      <c r="X47" s="112">
        <f t="shared" si="15"/>
        <v>1.098445136930704</v>
      </c>
      <c r="Y47" s="112">
        <f t="shared" si="15"/>
        <v>1.1129845561977141</v>
      </c>
      <c r="Z47" s="112">
        <f t="shared" si="15"/>
        <v>1.1402122056588782</v>
      </c>
      <c r="AA47" s="112">
        <f t="shared" si="15"/>
        <v>1.1691787784653667</v>
      </c>
      <c r="AB47" s="112">
        <f t="shared" si="15"/>
        <v>1.1955809610627119</v>
      </c>
      <c r="AC47" s="112">
        <f t="shared" si="15"/>
        <v>1.2237042859422551</v>
      </c>
      <c r="AD47" s="112">
        <f t="shared" si="15"/>
        <v>1.2467321756868048</v>
      </c>
      <c r="AE47" s="112">
        <f t="shared" si="15"/>
        <v>1.2666742235333588</v>
      </c>
      <c r="AF47" s="112">
        <f t="shared" si="15"/>
        <v>1.2905107293762139</v>
      </c>
      <c r="AG47" s="112">
        <f t="shared" si="15"/>
        <v>1.3119508053574416</v>
      </c>
      <c r="AH47" s="112">
        <f t="shared" si="15"/>
        <v>1.3529790850886199</v>
      </c>
      <c r="AI47" s="112">
        <f t="shared" si="15"/>
        <v>1.3622346920116126</v>
      </c>
      <c r="AJ47" s="112">
        <f t="shared" si="15"/>
        <v>1.3827425161022602</v>
      </c>
      <c r="AK47" s="112">
        <f t="shared" si="15"/>
        <v>1.3864759208957362</v>
      </c>
      <c r="AL47" s="112">
        <f t="shared" si="15"/>
        <v>1.3906353486584233</v>
      </c>
      <c r="AM47" s="112">
        <f t="shared" si="15"/>
        <v>1.3982838430760447</v>
      </c>
      <c r="AN47" s="112">
        <f t="shared" si="15"/>
        <v>1.3996821269191206</v>
      </c>
      <c r="AO47" s="112">
        <f t="shared" si="15"/>
        <v>1.3996821269191206</v>
      </c>
      <c r="AP47" s="112">
        <f t="shared" si="15"/>
        <v>1.3996821269191206</v>
      </c>
      <c r="AQ47" s="112">
        <f t="shared" si="15"/>
        <v>1.4073803786171759</v>
      </c>
      <c r="AR47" s="112">
        <f t="shared" si="15"/>
        <v>1.415430594382866</v>
      </c>
      <c r="AS47" s="112">
        <f t="shared" si="15"/>
        <v>1.4191107139282613</v>
      </c>
      <c r="AT47" s="112">
        <f t="shared" si="15"/>
        <v>1.4191107139282613</v>
      </c>
      <c r="AU47" s="112">
        <f t="shared" si="15"/>
        <v>1.4449707814379813</v>
      </c>
      <c r="AV47" s="112">
        <f t="shared" si="15"/>
        <v>1.5070033770851137</v>
      </c>
      <c r="AW47" s="112">
        <f t="shared" si="15"/>
        <v>1.5501338137372898</v>
      </c>
      <c r="AX47" s="112">
        <f t="shared" si="15"/>
        <v>1.5620275677263287</v>
      </c>
      <c r="AY47" s="77"/>
    </row>
    <row r="48" spans="16:52" x14ac:dyDescent="0.25">
      <c r="Q48" s="205"/>
      <c r="R48" s="200"/>
      <c r="S48" s="3">
        <v>7</v>
      </c>
      <c r="T48" s="112">
        <v>1</v>
      </c>
      <c r="U48" s="112">
        <f t="shared" si="16"/>
        <v>1.0459000000000001</v>
      </c>
      <c r="V48" s="112">
        <f t="shared" si="15"/>
        <v>1.0805715850000002</v>
      </c>
      <c r="W48" s="112">
        <f t="shared" si="15"/>
        <v>1.0805715850000002</v>
      </c>
      <c r="X48" s="112">
        <f t="shared" si="15"/>
        <v>1.0950844925954617</v>
      </c>
      <c r="Y48" s="112">
        <f t="shared" si="15"/>
        <v>1.1081581166916783</v>
      </c>
      <c r="Z48" s="112">
        <f t="shared" si="15"/>
        <v>1.1344214640572712</v>
      </c>
      <c r="AA48" s="112">
        <f t="shared" si="15"/>
        <v>1.1623413215515115</v>
      </c>
      <c r="AB48" s="112">
        <f t="shared" si="15"/>
        <v>1.187769773232223</v>
      </c>
      <c r="AC48" s="112">
        <f t="shared" si="15"/>
        <v>1.2148372190260726</v>
      </c>
      <c r="AD48" s="112">
        <f t="shared" si="15"/>
        <v>1.2369846360190864</v>
      </c>
      <c r="AE48" s="112">
        <f t="shared" si="15"/>
        <v>1.2561531402441666</v>
      </c>
      <c r="AF48" s="112">
        <f t="shared" si="15"/>
        <v>1.279053778262464</v>
      </c>
      <c r="AG48" s="112">
        <f t="shared" si="15"/>
        <v>1.299543235902707</v>
      </c>
      <c r="AH48" s="112">
        <f t="shared" si="15"/>
        <v>1.3387294627083888</v>
      </c>
      <c r="AI48" s="112">
        <f t="shared" si="15"/>
        <v>1.3475599282027921</v>
      </c>
      <c r="AJ48" s="112">
        <f t="shared" si="15"/>
        <v>1.3672135714633498</v>
      </c>
      <c r="AK48" s="112">
        <f t="shared" si="15"/>
        <v>1.3672135714633498</v>
      </c>
      <c r="AL48" s="112">
        <f t="shared" si="15"/>
        <v>1.3672135714633498</v>
      </c>
      <c r="AM48" s="112">
        <f t="shared" si="15"/>
        <v>1.3732293111777885</v>
      </c>
      <c r="AN48" s="112">
        <f t="shared" si="15"/>
        <v>1.3744652175578482</v>
      </c>
      <c r="AO48" s="112">
        <f t="shared" si="15"/>
        <v>1.3744652175578482</v>
      </c>
      <c r="AP48" s="112">
        <f t="shared" si="15"/>
        <v>1.3744652175578482</v>
      </c>
      <c r="AQ48" s="112">
        <f t="shared" si="15"/>
        <v>1.3812688203847596</v>
      </c>
      <c r="AR48" s="112">
        <f t="shared" si="15"/>
        <v>1.3884099801861487</v>
      </c>
      <c r="AS48" s="112">
        <f t="shared" si="15"/>
        <v>1.3916727436395862</v>
      </c>
      <c r="AT48" s="112">
        <f t="shared" si="15"/>
        <v>1.3916727436395862</v>
      </c>
      <c r="AU48" s="112">
        <f t="shared" si="15"/>
        <v>1.4161822416900696</v>
      </c>
      <c r="AV48" s="112">
        <f t="shared" si="15"/>
        <v>1.4700962996312106</v>
      </c>
      <c r="AW48" s="112">
        <f t="shared" si="15"/>
        <v>1.5074073437158506</v>
      </c>
      <c r="AX48" s="112">
        <f>AW48*(1+AX31%*AW$39%)</f>
        <v>1.5185853489415588</v>
      </c>
      <c r="AY48" s="77"/>
    </row>
    <row r="49" spans="17:51" x14ac:dyDescent="0.25">
      <c r="Q49" s="205"/>
      <c r="R49" s="200"/>
      <c r="S49" s="3">
        <v>8</v>
      </c>
      <c r="T49" s="112">
        <v>1</v>
      </c>
      <c r="U49" s="112">
        <f t="shared" si="16"/>
        <v>1.04518</v>
      </c>
      <c r="V49" s="112">
        <f t="shared" si="15"/>
        <v>1.0792842234</v>
      </c>
      <c r="W49" s="112">
        <f>V49*(1+W32%*V$39%)</f>
        <v>1.0792842234</v>
      </c>
      <c r="X49" s="112">
        <f t="shared" si="15"/>
        <v>1.0926241764012239</v>
      </c>
      <c r="Y49" s="112">
        <f t="shared" si="15"/>
        <v>1.1046284740192853</v>
      </c>
      <c r="Z49" s="112">
        <f t="shared" si="15"/>
        <v>1.1301895769080914</v>
      </c>
      <c r="AA49" s="112">
        <f t="shared" si="15"/>
        <v>1.1573480324411929</v>
      </c>
      <c r="AB49" s="112">
        <f t="shared" si="15"/>
        <v>1.1820689864141367</v>
      </c>
      <c r="AC49" s="112">
        <f t="shared" si="15"/>
        <v>1.2083700213618513</v>
      </c>
      <c r="AD49" s="112">
        <f t="shared" si="15"/>
        <v>1.2298790077420922</v>
      </c>
      <c r="AE49" s="112">
        <f t="shared" si="15"/>
        <v>1.2484870771292302</v>
      </c>
      <c r="AF49" s="112">
        <f t="shared" si="15"/>
        <v>1.2707101471021305</v>
      </c>
      <c r="AG49" s="112">
        <f t="shared" si="15"/>
        <v>1.290512046894472</v>
      </c>
      <c r="AH49" s="112">
        <f t="shared" si="15"/>
        <v>1.32836706693671</v>
      </c>
      <c r="AI49" s="112">
        <f t="shared" si="15"/>
        <v>1.3368907556162206</v>
      </c>
      <c r="AJ49" s="112">
        <f t="shared" si="15"/>
        <v>1.3559280799761957</v>
      </c>
      <c r="AK49" s="112">
        <f t="shared" si="15"/>
        <v>1.3559280799761957</v>
      </c>
      <c r="AL49" s="112">
        <f t="shared" si="15"/>
        <v>1.3559280799761957</v>
      </c>
      <c r="AM49" s="112">
        <f t="shared" si="15"/>
        <v>1.3559280799761957</v>
      </c>
      <c r="AN49" s="112">
        <f t="shared" si="15"/>
        <v>1.3571484152481741</v>
      </c>
      <c r="AO49" s="112">
        <f t="shared" si="15"/>
        <v>1.3571484152481741</v>
      </c>
      <c r="AP49" s="112">
        <f t="shared" si="15"/>
        <v>1.3571484152481741</v>
      </c>
      <c r="AQ49" s="112">
        <f t="shared" si="15"/>
        <v>1.3638662999036526</v>
      </c>
      <c r="AR49" s="112">
        <f t="shared" si="15"/>
        <v>1.3709174886741544</v>
      </c>
      <c r="AS49" s="112">
        <f t="shared" si="15"/>
        <v>1.3741391447725388</v>
      </c>
      <c r="AT49" s="112">
        <f t="shared" si="15"/>
        <v>1.3741391447725388</v>
      </c>
      <c r="AU49" s="112">
        <f t="shared" si="15"/>
        <v>1.3977239529606516</v>
      </c>
      <c r="AV49" s="112">
        <f t="shared" si="15"/>
        <v>1.4509353038498636</v>
      </c>
      <c r="AW49" s="112">
        <f t="shared" si="15"/>
        <v>1.4877600418615731</v>
      </c>
      <c r="AX49" s="112">
        <f t="shared" si="15"/>
        <v>1.4985115877640929</v>
      </c>
      <c r="AY49" s="77"/>
    </row>
    <row r="50" spans="17:51" x14ac:dyDescent="0.25">
      <c r="Q50" s="205"/>
      <c r="R50" s="200"/>
      <c r="S50" s="3">
        <v>9</v>
      </c>
      <c r="T50" s="112">
        <v>1</v>
      </c>
      <c r="U50" s="112">
        <f t="shared" si="16"/>
        <v>1.0446294117647059</v>
      </c>
      <c r="V50" s="112">
        <f t="shared" si="15"/>
        <v>1.0783002756574396</v>
      </c>
      <c r="W50" s="112">
        <f t="shared" si="15"/>
        <v>1.0783002756574396</v>
      </c>
      <c r="X50" s="112">
        <f t="shared" si="15"/>
        <v>1.0904026105159947</v>
      </c>
      <c r="Y50" s="112">
        <f t="shared" si="15"/>
        <v>1.1012809800891425</v>
      </c>
      <c r="Z50" s="112">
        <f t="shared" si="15"/>
        <v>1.1262930145839907</v>
      </c>
      <c r="AA50" s="112">
        <f t="shared" si="15"/>
        <v>1.1528569665956054</v>
      </c>
      <c r="AB50" s="112">
        <f t="shared" si="15"/>
        <v>1.1770262738247039</v>
      </c>
      <c r="AC50" s="112">
        <f t="shared" si="15"/>
        <v>1.2027304505398462</v>
      </c>
      <c r="AD50" s="112">
        <f t="shared" si="15"/>
        <v>1.2237428589992776</v>
      </c>
      <c r="AE50" s="112">
        <f t="shared" si="15"/>
        <v>1.2419154404554169</v>
      </c>
      <c r="AF50" s="112">
        <f t="shared" si="15"/>
        <v>1.2636124337386674</v>
      </c>
      <c r="AG50" s="112">
        <f t="shared" si="15"/>
        <v>1.2636124337386674</v>
      </c>
      <c r="AH50" s="112">
        <f t="shared" si="15"/>
        <v>1.2998855436012833</v>
      </c>
      <c r="AI50" s="112">
        <f t="shared" si="15"/>
        <v>1.3080480601765443</v>
      </c>
      <c r="AJ50" s="112">
        <f t="shared" si="15"/>
        <v>1.3263299554176</v>
      </c>
      <c r="AK50" s="112">
        <f t="shared" si="15"/>
        <v>1.3263299554176</v>
      </c>
      <c r="AL50" s="112">
        <f t="shared" si="15"/>
        <v>1.3263299554176</v>
      </c>
      <c r="AM50" s="112">
        <f t="shared" si="15"/>
        <v>1.3263299554176</v>
      </c>
      <c r="AN50" s="112">
        <f t="shared" si="15"/>
        <v>1.3275236523774758</v>
      </c>
      <c r="AO50" s="112">
        <f t="shared" si="15"/>
        <v>1.3275236523774758</v>
      </c>
      <c r="AP50" s="112">
        <f t="shared" si="15"/>
        <v>1.3275236523774758</v>
      </c>
      <c r="AQ50" s="112">
        <f t="shared" si="15"/>
        <v>1.3340948944567443</v>
      </c>
      <c r="AR50" s="112">
        <f t="shared" si="15"/>
        <v>1.3406986641843053</v>
      </c>
      <c r="AS50" s="112">
        <f t="shared" si="15"/>
        <v>1.3437152361787201</v>
      </c>
      <c r="AT50" s="112">
        <f t="shared" si="15"/>
        <v>1.3437152361787201</v>
      </c>
      <c r="AU50" s="112">
        <f t="shared" si="15"/>
        <v>1.3663173168719733</v>
      </c>
      <c r="AV50" s="112">
        <f t="shared" si="15"/>
        <v>1.4072658468586265</v>
      </c>
      <c r="AW50" s="112">
        <f t="shared" si="15"/>
        <v>1.4353830184788621</v>
      </c>
      <c r="AX50" s="112">
        <f t="shared" si="15"/>
        <v>1.4455489076215007</v>
      </c>
      <c r="AY50" s="77"/>
    </row>
    <row r="51" spans="17:51" x14ac:dyDescent="0.25">
      <c r="Q51" s="205"/>
      <c r="R51" s="200"/>
      <c r="S51" s="3">
        <v>10</v>
      </c>
      <c r="T51" s="112">
        <v>1</v>
      </c>
      <c r="U51" s="112">
        <f t="shared" si="16"/>
        <v>1.0441947368421052</v>
      </c>
      <c r="V51" s="112">
        <f t="shared" si="15"/>
        <v>1.0775237841135732</v>
      </c>
      <c r="W51" s="112">
        <f t="shared" si="15"/>
        <v>1.0775237841135732</v>
      </c>
      <c r="X51" s="112">
        <f t="shared" si="15"/>
        <v>1.088344391377198</v>
      </c>
      <c r="Y51" s="112">
        <f t="shared" si="15"/>
        <v>1.0980592971023333</v>
      </c>
      <c r="Z51" s="112">
        <f t="shared" si="15"/>
        <v>1.1226269290601334</v>
      </c>
      <c r="AA51" s="112">
        <f t="shared" si="15"/>
        <v>1.1487102794724278</v>
      </c>
      <c r="AB51" s="112">
        <f t="shared" si="15"/>
        <v>1.1724341696653215</v>
      </c>
      <c r="AC51" s="112">
        <f t="shared" si="15"/>
        <v>1.1976569310785161</v>
      </c>
      <c r="AD51" s="112">
        <f t="shared" si="15"/>
        <v>1.2182692372081307</v>
      </c>
      <c r="AE51" s="112">
        <f t="shared" ref="V51:AX52" si="17">AD51*(1+AE34%*AD$39%)</f>
        <v>1.2360912337598151</v>
      </c>
      <c r="AF51" s="112">
        <f t="shared" si="17"/>
        <v>1.2573650144671551</v>
      </c>
      <c r="AG51" s="112">
        <f t="shared" si="17"/>
        <v>1.2573650144671551</v>
      </c>
      <c r="AH51" s="112">
        <f t="shared" si="17"/>
        <v>1.2928359432963337</v>
      </c>
      <c r="AI51" s="112">
        <f t="shared" si="17"/>
        <v>1.3008141019464126</v>
      </c>
      <c r="AJ51" s="112">
        <f t="shared" si="17"/>
        <v>1.3187242582132117</v>
      </c>
      <c r="AK51" s="112">
        <f t="shared" si="17"/>
        <v>1.3187242582132117</v>
      </c>
      <c r="AL51" s="112">
        <f t="shared" si="17"/>
        <v>1.3187242582132117</v>
      </c>
      <c r="AM51" s="112">
        <f t="shared" si="17"/>
        <v>1.3187242582132117</v>
      </c>
      <c r="AN51" s="112">
        <f t="shared" si="17"/>
        <v>1.3199111100456036</v>
      </c>
      <c r="AO51" s="112">
        <f t="shared" si="17"/>
        <v>1.3199111100456036</v>
      </c>
      <c r="AP51" s="112">
        <f t="shared" si="17"/>
        <v>1.3199111100456036</v>
      </c>
      <c r="AQ51" s="112">
        <f t="shared" si="17"/>
        <v>1.3264446700403294</v>
      </c>
      <c r="AR51" s="112">
        <f t="shared" si="17"/>
        <v>1.3322810265885068</v>
      </c>
      <c r="AS51" s="112">
        <f t="shared" si="17"/>
        <v>1.3349455886416839</v>
      </c>
      <c r="AT51" s="112">
        <f t="shared" si="17"/>
        <v>1.3349455886416839</v>
      </c>
      <c r="AU51" s="112">
        <f t="shared" si="17"/>
        <v>1.3570389381337038</v>
      </c>
      <c r="AV51" s="112">
        <f t="shared" si="17"/>
        <v>1.3977093951095709</v>
      </c>
      <c r="AW51" s="112">
        <f t="shared" si="17"/>
        <v>1.4256356288238603</v>
      </c>
      <c r="AX51" s="112">
        <f t="shared" si="17"/>
        <v>1.4355700581531381</v>
      </c>
      <c r="AY51" s="77"/>
    </row>
    <row r="52" spans="17:51" x14ac:dyDescent="0.25">
      <c r="Q52" s="205"/>
      <c r="R52" s="200"/>
      <c r="S52" s="3" t="s">
        <v>0</v>
      </c>
      <c r="T52" s="112">
        <v>1</v>
      </c>
      <c r="U52" s="112">
        <f>T52*(1+U35%*T$39%)</f>
        <v>1.0438428571428571</v>
      </c>
      <c r="V52" s="112">
        <f t="shared" si="17"/>
        <v>1.0768953956122449</v>
      </c>
      <c r="W52" s="112">
        <f>V52*(1+W35%*V$39%)</f>
        <v>1.0768953956122449</v>
      </c>
      <c r="X52" s="112">
        <f t="shared" si="17"/>
        <v>1.0866797594923792</v>
      </c>
      <c r="Y52" s="112">
        <f t="shared" si="17"/>
        <v>1.0954559922166607</v>
      </c>
      <c r="Z52" s="112">
        <f t="shared" si="17"/>
        <v>1.1196655696446489</v>
      </c>
      <c r="AA52" s="112">
        <f t="shared" si="17"/>
        <v>1.1453618944679937</v>
      </c>
      <c r="AB52" s="112">
        <f t="shared" si="17"/>
        <v>1.1687272771151407</v>
      </c>
      <c r="AC52" s="112">
        <f t="shared" si="17"/>
        <v>1.1935627317538373</v>
      </c>
      <c r="AD52" s="112">
        <f t="shared" si="17"/>
        <v>1.2138532981936525</v>
      </c>
      <c r="AE52" s="112">
        <f t="shared" si="17"/>
        <v>1.2313934783525509</v>
      </c>
      <c r="AF52" s="112">
        <f t="shared" si="17"/>
        <v>1.2523271674845442</v>
      </c>
      <c r="AG52" s="112">
        <f t="shared" si="17"/>
        <v>1.2523271674845442</v>
      </c>
      <c r="AH52" s="112">
        <f t="shared" si="17"/>
        <v>1.287153789666019</v>
      </c>
      <c r="AI52" s="112">
        <f t="shared" si="17"/>
        <v>1.2949839752198207</v>
      </c>
      <c r="AJ52" s="112">
        <f t="shared" si="17"/>
        <v>1.3125957572828104</v>
      </c>
      <c r="AK52" s="112">
        <f t="shared" si="17"/>
        <v>1.3125957572828104</v>
      </c>
      <c r="AL52" s="112">
        <f t="shared" si="17"/>
        <v>1.3125957572828104</v>
      </c>
      <c r="AM52" s="112">
        <f t="shared" si="17"/>
        <v>1.3125957572828104</v>
      </c>
      <c r="AN52" s="112">
        <f t="shared" si="17"/>
        <v>1.3137770934643649</v>
      </c>
      <c r="AO52" s="112">
        <f t="shared" si="17"/>
        <v>1.3137770934643649</v>
      </c>
      <c r="AP52" s="112">
        <f t="shared" si="17"/>
        <v>1.3137770934643649</v>
      </c>
      <c r="AQ52" s="112">
        <f t="shared" si="17"/>
        <v>1.3202802900770134</v>
      </c>
      <c r="AR52" s="112">
        <f t="shared" si="17"/>
        <v>1.3260895233533523</v>
      </c>
      <c r="AS52" s="112">
        <f t="shared" si="17"/>
        <v>1.328741702400059</v>
      </c>
      <c r="AT52" s="112">
        <f t="shared" si="17"/>
        <v>1.328741702400059</v>
      </c>
      <c r="AU52" s="112">
        <f t="shared" si="17"/>
        <v>1.3504413198685399</v>
      </c>
      <c r="AV52" s="112">
        <f t="shared" si="17"/>
        <v>1.3854447588795324</v>
      </c>
      <c r="AW52" s="112">
        <f t="shared" si="17"/>
        <v>1.4019038426150214</v>
      </c>
      <c r="AX52" s="112">
        <f t="shared" si="17"/>
        <v>1.4115436004661457</v>
      </c>
      <c r="AY52" s="47"/>
    </row>
    <row r="53" spans="17:51" x14ac:dyDescent="0.25">
      <c r="Q53" s="205"/>
      <c r="R53" s="201" t="s">
        <v>53</v>
      </c>
      <c r="S53" s="201"/>
      <c r="T53" s="112">
        <v>1</v>
      </c>
      <c r="U53" s="112">
        <f>T53*(1+T38%)</f>
        <v>1.054</v>
      </c>
      <c r="V53" s="112">
        <f>U53*(1+U38%)</f>
        <v>1.0951059999999999</v>
      </c>
      <c r="W53" s="112">
        <f t="shared" ref="W53:AW53" si="18">V53*(1+V38%)</f>
        <v>1.1137228019999998</v>
      </c>
      <c r="X53" s="112">
        <f t="shared" si="18"/>
        <v>1.1337698124359998</v>
      </c>
      <c r="Y53" s="112">
        <f t="shared" si="18"/>
        <v>1.1519101294349758</v>
      </c>
      <c r="Z53" s="112">
        <f t="shared" si="18"/>
        <v>1.1818597928002852</v>
      </c>
      <c r="AA53" s="112">
        <f t="shared" si="18"/>
        <v>1.2137700072058928</v>
      </c>
      <c r="AB53" s="112">
        <f t="shared" si="18"/>
        <v>1.2429004873788343</v>
      </c>
      <c r="AC53" s="112">
        <f t="shared" si="18"/>
        <v>1.2739729995633051</v>
      </c>
      <c r="AD53" s="112">
        <f t="shared" si="18"/>
        <v>1.2994524595545713</v>
      </c>
      <c r="AE53" s="112">
        <f t="shared" si="18"/>
        <v>1.3215431513669988</v>
      </c>
      <c r="AF53" s="112">
        <f t="shared" si="18"/>
        <v>1.3479740143943388</v>
      </c>
      <c r="AG53" s="112">
        <f t="shared" si="18"/>
        <v>1.3708895726390424</v>
      </c>
      <c r="AH53" s="112">
        <f t="shared" si="18"/>
        <v>1.4147580389634917</v>
      </c>
      <c r="AI53" s="112">
        <f>AH53*(1+AH38%)</f>
        <v>1.424661345236236</v>
      </c>
      <c r="AJ53" s="112">
        <f t="shared" si="18"/>
        <v>1.4474559267600158</v>
      </c>
      <c r="AK53" s="112">
        <f t="shared" si="18"/>
        <v>1.486537236782536</v>
      </c>
      <c r="AL53" s="112">
        <f t="shared" si="18"/>
        <v>1.5311333538860121</v>
      </c>
      <c r="AM53" s="112">
        <f t="shared" si="18"/>
        <v>1.5479758207787582</v>
      </c>
      <c r="AN53" s="112">
        <f t="shared" si="18"/>
        <v>1.5510717724203158</v>
      </c>
      <c r="AO53" s="112">
        <f t="shared" si="18"/>
        <v>1.5495207006478955</v>
      </c>
      <c r="AP53" s="112">
        <f t="shared" si="18"/>
        <v>1.5479711799472475</v>
      </c>
      <c r="AQ53" s="112">
        <f t="shared" si="18"/>
        <v>1.5649988629266671</v>
      </c>
      <c r="AR53" s="112">
        <f t="shared" si="18"/>
        <v>1.5822138504188603</v>
      </c>
      <c r="AS53" s="112">
        <f t="shared" si="18"/>
        <v>1.5901249196709544</v>
      </c>
      <c r="AT53" s="112">
        <f t="shared" si="18"/>
        <v>1.5853545449119415</v>
      </c>
      <c r="AU53" s="112">
        <f t="shared" si="18"/>
        <v>1.6154762812652683</v>
      </c>
      <c r="AV53" s="112">
        <f t="shared" si="18"/>
        <v>1.746329860047755</v>
      </c>
      <c r="AW53" s="112">
        <f t="shared" si="18"/>
        <v>1.840631672490334</v>
      </c>
      <c r="AX53" s="112">
        <f>AW53*(1+AW38%)</f>
        <v>1.8553567258702566</v>
      </c>
      <c r="AY53" s="47"/>
    </row>
    <row r="56" spans="17:51" x14ac:dyDescent="0.25">
      <c r="T56" s="111">
        <v>1995</v>
      </c>
      <c r="U56" s="111">
        <v>1996</v>
      </c>
      <c r="V56" s="111">
        <v>1997</v>
      </c>
      <c r="W56" s="111">
        <v>1998</v>
      </c>
      <c r="X56" s="111">
        <v>1999</v>
      </c>
      <c r="Y56" s="111">
        <v>2000</v>
      </c>
      <c r="Z56" s="111">
        <v>2001</v>
      </c>
      <c r="AA56" s="111">
        <v>2002</v>
      </c>
      <c r="AB56" s="111">
        <v>2003</v>
      </c>
      <c r="AC56" s="111">
        <v>2004</v>
      </c>
      <c r="AD56" s="111">
        <v>2005</v>
      </c>
      <c r="AE56" s="111">
        <v>2006</v>
      </c>
      <c r="AF56" s="111">
        <v>2007</v>
      </c>
      <c r="AG56" s="111">
        <v>2008</v>
      </c>
      <c r="AH56" s="111">
        <v>2009</v>
      </c>
      <c r="AI56" s="111">
        <v>2010</v>
      </c>
      <c r="AJ56" s="111">
        <v>2011</v>
      </c>
      <c r="AK56" s="111">
        <v>2012</v>
      </c>
      <c r="AL56" s="111">
        <v>2013</v>
      </c>
      <c r="AM56" s="111">
        <v>2014</v>
      </c>
      <c r="AN56" s="111">
        <v>2015</v>
      </c>
      <c r="AO56" s="111">
        <v>2016</v>
      </c>
      <c r="AP56" s="111">
        <v>2017</v>
      </c>
      <c r="AQ56" s="111">
        <v>2018</v>
      </c>
      <c r="AR56" s="111">
        <v>2019</v>
      </c>
      <c r="AS56" s="111">
        <v>2020</v>
      </c>
      <c r="AT56" s="111">
        <v>2021</v>
      </c>
      <c r="AU56" s="111">
        <v>2022</v>
      </c>
      <c r="AV56" s="111">
        <v>2023</v>
      </c>
      <c r="AW56" s="111">
        <v>2024</v>
      </c>
      <c r="AX56" s="111">
        <v>2025</v>
      </c>
      <c r="AY56" s="111">
        <v>2026</v>
      </c>
    </row>
    <row r="57" spans="17:51" x14ac:dyDescent="0.25">
      <c r="R57" s="200" t="s">
        <v>1</v>
      </c>
      <c r="S57" s="3">
        <v>1</v>
      </c>
      <c r="T57" s="112">
        <v>1.8646670138644832</v>
      </c>
      <c r="U57" s="112">
        <v>1.7691337892452399</v>
      </c>
      <c r="V57" s="112">
        <v>1.7027274198702984</v>
      </c>
      <c r="W57" s="112">
        <v>1.6742649162933121</v>
      </c>
      <c r="X57" s="112">
        <v>1.6446610179698549</v>
      </c>
      <c r="Y57" s="112">
        <v>1.6187608444585189</v>
      </c>
      <c r="Z57" s="112">
        <v>1.5777396144819866</v>
      </c>
      <c r="AA57" s="112">
        <v>1.5362605788529571</v>
      </c>
      <c r="AB57" s="112">
        <v>1.500254471536091</v>
      </c>
      <c r="AC57" s="112">
        <v>1.4636628990596003</v>
      </c>
      <c r="AD57" s="112">
        <v>1.4349636265290207</v>
      </c>
      <c r="AE57" s="112">
        <v>1.4109770172360081</v>
      </c>
      <c r="AF57" s="112">
        <v>1.3833108012117736</v>
      </c>
      <c r="AG57" s="112">
        <v>1.3601876118109868</v>
      </c>
      <c r="AH57" s="112">
        <v>1.3180112517548312</v>
      </c>
      <c r="AI57" s="112">
        <v>1.3088493066085718</v>
      </c>
      <c r="AJ57" s="112">
        <v>1.2882375065045</v>
      </c>
      <c r="AK57" s="112">
        <v>1.2543695292156767</v>
      </c>
      <c r="AL57" s="112">
        <v>1.2178344943841524</v>
      </c>
      <c r="AM57" s="112">
        <v>1.2045840696183505</v>
      </c>
      <c r="AN57" s="112">
        <v>1.2021797101979543</v>
      </c>
      <c r="AO57" s="112">
        <v>1.2021797101979543</v>
      </c>
      <c r="AP57" s="112">
        <v>1.2021797101979543</v>
      </c>
      <c r="AQ57" s="112">
        <v>1.1890996144391242</v>
      </c>
      <c r="AR57" s="112">
        <v>1.1761618342622397</v>
      </c>
      <c r="AS57" s="112">
        <v>1.1703102828479999</v>
      </c>
      <c r="AT57" s="112">
        <v>1.1703102828479999</v>
      </c>
      <c r="AU57" s="112">
        <v>1.1484889920000001</v>
      </c>
      <c r="AV57" s="112">
        <v>1.062432</v>
      </c>
      <c r="AW57" s="112">
        <v>1.008</v>
      </c>
      <c r="AX57" s="112"/>
      <c r="AY57" s="77"/>
    </row>
    <row r="58" spans="17:51" x14ac:dyDescent="0.25">
      <c r="R58" s="200"/>
      <c r="S58" s="3">
        <v>2</v>
      </c>
      <c r="T58" s="112">
        <v>1.8646670138644832</v>
      </c>
      <c r="U58" s="112">
        <v>1.7691337892452397</v>
      </c>
      <c r="V58" s="112">
        <v>1.7027274198702984</v>
      </c>
      <c r="W58" s="112">
        <v>1.6742649162933121</v>
      </c>
      <c r="X58" s="112">
        <v>1.6446610179698549</v>
      </c>
      <c r="Y58" s="112">
        <v>1.6187608444585189</v>
      </c>
      <c r="Z58" s="112">
        <v>1.5777396144819866</v>
      </c>
      <c r="AA58" s="112">
        <v>1.5362605788529571</v>
      </c>
      <c r="AB58" s="112">
        <v>1.500254471536091</v>
      </c>
      <c r="AC58" s="112">
        <v>1.4636628990596003</v>
      </c>
      <c r="AD58" s="112">
        <v>1.4349636265290207</v>
      </c>
      <c r="AE58" s="112">
        <v>1.4109770172360081</v>
      </c>
      <c r="AF58" s="112">
        <v>1.3833108012117736</v>
      </c>
      <c r="AG58" s="112">
        <v>1.3601876118109868</v>
      </c>
      <c r="AH58" s="112">
        <v>1.3180112517548312</v>
      </c>
      <c r="AI58" s="112">
        <v>1.3088493066085718</v>
      </c>
      <c r="AJ58" s="112">
        <v>1.2882375065045</v>
      </c>
      <c r="AK58" s="112">
        <v>1.2543695292156767</v>
      </c>
      <c r="AL58" s="112">
        <v>1.2178344943841524</v>
      </c>
      <c r="AM58" s="112">
        <v>1.2045840696183505</v>
      </c>
      <c r="AN58" s="112">
        <v>1.2021797101979543</v>
      </c>
      <c r="AO58" s="112">
        <v>1.2021797101979543</v>
      </c>
      <c r="AP58" s="112">
        <v>1.2021797101979543</v>
      </c>
      <c r="AQ58" s="112">
        <v>1.1890996144391242</v>
      </c>
      <c r="AR58" s="112">
        <v>1.1761618342622397</v>
      </c>
      <c r="AS58" s="112">
        <v>1.1703102828479999</v>
      </c>
      <c r="AT58" s="112">
        <v>1.1703102828479999</v>
      </c>
      <c r="AU58" s="112">
        <v>1.1484889920000001</v>
      </c>
      <c r="AV58" s="112">
        <v>1.062432</v>
      </c>
      <c r="AW58" s="112">
        <v>1.008</v>
      </c>
      <c r="AX58" s="112"/>
      <c r="AY58" s="77"/>
    </row>
    <row r="59" spans="17:51" x14ac:dyDescent="0.25">
      <c r="R59" s="200"/>
      <c r="S59" s="3">
        <v>3</v>
      </c>
      <c r="T59" s="112">
        <v>1.8594917829030422</v>
      </c>
      <c r="U59" s="112">
        <v>1.7660333006335158</v>
      </c>
      <c r="V59" s="112">
        <v>1.7010203045920098</v>
      </c>
      <c r="W59" s="112">
        <v>1.6731456972754013</v>
      </c>
      <c r="X59" s="112">
        <v>1.6441430144996283</v>
      </c>
      <c r="Y59" s="112">
        <v>1.6187608444585189</v>
      </c>
      <c r="Z59" s="112">
        <v>1.5777396144819866</v>
      </c>
      <c r="AA59" s="112">
        <v>1.5362605788529571</v>
      </c>
      <c r="AB59" s="112">
        <v>1.500254471536091</v>
      </c>
      <c r="AC59" s="112">
        <v>1.4636628990596003</v>
      </c>
      <c r="AD59" s="112">
        <v>1.4349636265290207</v>
      </c>
      <c r="AE59" s="112">
        <v>1.4109770172360081</v>
      </c>
      <c r="AF59" s="112">
        <v>1.3833108012117736</v>
      </c>
      <c r="AG59" s="112">
        <v>1.3601876118109868</v>
      </c>
      <c r="AH59" s="112">
        <v>1.3180112517548312</v>
      </c>
      <c r="AI59" s="112">
        <v>1.3088493066085718</v>
      </c>
      <c r="AJ59" s="112">
        <v>1.2882375065045</v>
      </c>
      <c r="AK59" s="112">
        <v>1.2543695292156767</v>
      </c>
      <c r="AL59" s="112">
        <v>1.2178344943841524</v>
      </c>
      <c r="AM59" s="112">
        <v>1.2045840696183505</v>
      </c>
      <c r="AN59" s="112">
        <v>1.2021797101979543</v>
      </c>
      <c r="AO59" s="112">
        <v>1.2021797101979543</v>
      </c>
      <c r="AP59" s="112">
        <v>1.2021797101979543</v>
      </c>
      <c r="AQ59" s="112">
        <v>1.1890996144391242</v>
      </c>
      <c r="AR59" s="112">
        <v>1.1761618342622397</v>
      </c>
      <c r="AS59" s="112">
        <v>1.1703102828479999</v>
      </c>
      <c r="AT59" s="112">
        <v>1.1703102828479999</v>
      </c>
      <c r="AU59" s="112">
        <v>1.1484889920000001</v>
      </c>
      <c r="AV59" s="112">
        <v>1.062432</v>
      </c>
      <c r="AW59" s="112">
        <v>1.008</v>
      </c>
      <c r="AX59" s="112"/>
      <c r="AY59" s="77"/>
    </row>
    <row r="60" spans="17:51" x14ac:dyDescent="0.25">
      <c r="R60" s="200"/>
      <c r="S60" s="3">
        <v>4</v>
      </c>
      <c r="T60" s="112">
        <v>1.7800692435562739</v>
      </c>
      <c r="U60" s="112">
        <v>1.6944510525169534</v>
      </c>
      <c r="V60" s="112">
        <v>1.6347927926756678</v>
      </c>
      <c r="W60" s="112">
        <v>1.6091950963923407</v>
      </c>
      <c r="X60" s="112">
        <v>1.5825405912904631</v>
      </c>
      <c r="Y60" s="112">
        <v>1.5591971820506201</v>
      </c>
      <c r="Z60" s="112">
        <v>1.5202357125044343</v>
      </c>
      <c r="AA60" s="112">
        <v>1.4808246228978807</v>
      </c>
      <c r="AB60" s="112">
        <v>1.4466021491968799</v>
      </c>
      <c r="AC60" s="112">
        <v>1.4118110901886594</v>
      </c>
      <c r="AD60" s="112">
        <v>1.3845163394957436</v>
      </c>
      <c r="AE60" s="112">
        <v>1.3616981687536285</v>
      </c>
      <c r="AF60" s="112">
        <v>1.3353722585143459</v>
      </c>
      <c r="AG60" s="112">
        <v>1.3130504016856899</v>
      </c>
      <c r="AH60" s="112">
        <v>1.2723356605481488</v>
      </c>
      <c r="AI60" s="112">
        <v>1.2634912219941896</v>
      </c>
      <c r="AJ60" s="112">
        <v>1.2438735590064312</v>
      </c>
      <c r="AK60" s="112">
        <v>1.2305832598005846</v>
      </c>
      <c r="AL60" s="112">
        <v>1.2159913634393129</v>
      </c>
      <c r="AM60" s="112">
        <v>1.2034156696910414</v>
      </c>
      <c r="AN60" s="112">
        <v>1.2011335160106216</v>
      </c>
      <c r="AO60" s="112">
        <v>1.2011335160106216</v>
      </c>
      <c r="AP60" s="112">
        <v>1.2011335160106216</v>
      </c>
      <c r="AQ60" s="112">
        <v>1.1887114810338177</v>
      </c>
      <c r="AR60" s="112">
        <v>1.1761618342622397</v>
      </c>
      <c r="AS60" s="112">
        <v>1.1703102828479999</v>
      </c>
      <c r="AT60" s="112">
        <v>1.1703102828479999</v>
      </c>
      <c r="AU60" s="112">
        <v>1.1484889920000001</v>
      </c>
      <c r="AV60" s="112">
        <v>1.062432</v>
      </c>
      <c r="AW60" s="112">
        <v>1.008</v>
      </c>
      <c r="AX60" s="112"/>
      <c r="AY60" s="77"/>
    </row>
    <row r="61" spans="17:51" x14ac:dyDescent="0.25">
      <c r="R61" s="200"/>
      <c r="S61" s="3">
        <v>5</v>
      </c>
      <c r="T61" s="112">
        <v>1.6717156533769622</v>
      </c>
      <c r="U61" s="112">
        <v>1.5946920284050006</v>
      </c>
      <c r="V61" s="112">
        <v>1.5409389416568697</v>
      </c>
      <c r="W61" s="112">
        <v>1.5409389416568697</v>
      </c>
      <c r="X61" s="112">
        <v>1.5165229226029615</v>
      </c>
      <c r="Y61" s="112">
        <v>1.4951260081748596</v>
      </c>
      <c r="Z61" s="112">
        <v>1.4584698005217465</v>
      </c>
      <c r="AA61" s="112">
        <v>1.4213719915424876</v>
      </c>
      <c r="AB61" s="112">
        <v>1.3891438541267467</v>
      </c>
      <c r="AC61" s="112">
        <v>1.356365032507808</v>
      </c>
      <c r="AD61" s="112">
        <v>1.3306393386276729</v>
      </c>
      <c r="AE61" s="112">
        <v>1.3091260341334141</v>
      </c>
      <c r="AF61" s="112">
        <v>1.2842963055592684</v>
      </c>
      <c r="AG61" s="112">
        <v>1.2628282257219945</v>
      </c>
      <c r="AH61" s="112">
        <v>1.2236707613585218</v>
      </c>
      <c r="AI61" s="112">
        <v>1.2151646090948578</v>
      </c>
      <c r="AJ61" s="112">
        <v>1.1966563246075936</v>
      </c>
      <c r="AK61" s="112">
        <v>1.1902290875349049</v>
      </c>
      <c r="AL61" s="112">
        <v>1.183130305700701</v>
      </c>
      <c r="AM61" s="112">
        <v>1.1734493485749575</v>
      </c>
      <c r="AN61" s="112">
        <v>1.1716918108586691</v>
      </c>
      <c r="AO61" s="112">
        <v>1.1716918108586691</v>
      </c>
      <c r="AP61" s="112">
        <v>1.1716918108586691</v>
      </c>
      <c r="AQ61" s="112">
        <v>1.1621044491531556</v>
      </c>
      <c r="AR61" s="112">
        <v>1.1523440946712897</v>
      </c>
      <c r="AS61" s="112">
        <v>1.1479245850189668</v>
      </c>
      <c r="AT61" s="112">
        <v>1.1479245850189668</v>
      </c>
      <c r="AU61" s="112">
        <v>1.1267541269231114</v>
      </c>
      <c r="AV61" s="112">
        <v>1.0541742311111113</v>
      </c>
      <c r="AW61" s="112">
        <v>1.0079111111111112</v>
      </c>
      <c r="AX61" s="112"/>
      <c r="AY61" s="77"/>
    </row>
    <row r="62" spans="17:51" x14ac:dyDescent="0.25">
      <c r="R62" s="200"/>
      <c r="S62" s="3">
        <v>6</v>
      </c>
      <c r="T62" s="112">
        <v>1.5620275677263287</v>
      </c>
      <c r="U62" s="112">
        <v>1.4920763171139939</v>
      </c>
      <c r="V62" s="112">
        <v>1.4432105208863464</v>
      </c>
      <c r="W62" s="112">
        <v>1.4432105208863464</v>
      </c>
      <c r="X62" s="112">
        <v>1.4220351251141912</v>
      </c>
      <c r="Y62" s="112">
        <v>1.4034584388688003</v>
      </c>
      <c r="Z62" s="112">
        <v>1.3699446120414942</v>
      </c>
      <c r="AA62" s="112">
        <v>1.3360040367621149</v>
      </c>
      <c r="AB62" s="112">
        <v>1.3065008716246995</v>
      </c>
      <c r="AC62" s="112">
        <v>1.2764747052622798</v>
      </c>
      <c r="AD62" s="112">
        <v>1.2528974531886388</v>
      </c>
      <c r="AE62" s="112">
        <v>1.2331723016902389</v>
      </c>
      <c r="AF62" s="112">
        <v>1.210394870937149</v>
      </c>
      <c r="AG62" s="112">
        <v>1.1906144356538992</v>
      </c>
      <c r="AH62" s="112">
        <v>1.1545097665896411</v>
      </c>
      <c r="AI62" s="112">
        <v>1.1466655319280423</v>
      </c>
      <c r="AJ62" s="112">
        <v>1.1296590287318611</v>
      </c>
      <c r="AK62" s="112">
        <v>1.1266171623933989</v>
      </c>
      <c r="AL62" s="112">
        <v>1.1232474201330003</v>
      </c>
      <c r="AM62" s="112">
        <v>1.1171033516986575</v>
      </c>
      <c r="AN62" s="112">
        <v>1.1159873643343232</v>
      </c>
      <c r="AO62" s="112">
        <v>1.1159873643343232</v>
      </c>
      <c r="AP62" s="112">
        <v>1.1159873643343232</v>
      </c>
      <c r="AQ62" s="112">
        <v>1.1098830077914699</v>
      </c>
      <c r="AR62" s="112">
        <v>1.1035705840507</v>
      </c>
      <c r="AS62" s="112">
        <v>1.1007087413232595</v>
      </c>
      <c r="AT62" s="112">
        <v>1.1007087413232595</v>
      </c>
      <c r="AU62" s="112">
        <v>1.0810097946560946</v>
      </c>
      <c r="AV62" s="112">
        <v>1.0365123207272728</v>
      </c>
      <c r="AW62" s="112">
        <v>1.0076727272727273</v>
      </c>
      <c r="AX62" s="112"/>
      <c r="AY62" s="77"/>
    </row>
    <row r="63" spans="17:51" x14ac:dyDescent="0.25">
      <c r="R63" s="200"/>
      <c r="S63" s="3">
        <v>7</v>
      </c>
      <c r="T63" s="112">
        <v>1.5185853489415588</v>
      </c>
      <c r="U63" s="112">
        <v>1.4519412457611232</v>
      </c>
      <c r="V63" s="112">
        <v>1.4053537683406319</v>
      </c>
      <c r="W63" s="112">
        <v>1.4053537683406319</v>
      </c>
      <c r="X63" s="112">
        <v>1.3867289320683898</v>
      </c>
      <c r="Y63" s="112">
        <v>1.3703688364212687</v>
      </c>
      <c r="Z63" s="112">
        <v>1.3386429973832847</v>
      </c>
      <c r="AA63" s="112">
        <v>1.3064883100899556</v>
      </c>
      <c r="AB63" s="112">
        <v>1.2785182643679367</v>
      </c>
      <c r="AC63" s="112">
        <v>1.250031959145111</v>
      </c>
      <c r="AD63" s="112">
        <v>1.2276509381949414</v>
      </c>
      <c r="AE63" s="112">
        <v>1.2089173686628543</v>
      </c>
      <c r="AF63" s="112">
        <v>1.1872724781005592</v>
      </c>
      <c r="AG63" s="112">
        <v>1.1685531554374933</v>
      </c>
      <c r="AH63" s="112">
        <v>1.1343481944957745</v>
      </c>
      <c r="AI63" s="112">
        <v>1.1269148905064725</v>
      </c>
      <c r="AJ63" s="112">
        <v>1.1107155316752699</v>
      </c>
      <c r="AK63" s="112">
        <v>1.1107155316752699</v>
      </c>
      <c r="AL63" s="112">
        <v>1.1107155316752699</v>
      </c>
      <c r="AM63" s="112">
        <v>1.1058497925878834</v>
      </c>
      <c r="AN63" s="112">
        <v>1.1048554227074467</v>
      </c>
      <c r="AO63" s="112">
        <v>1.1048554227074467</v>
      </c>
      <c r="AP63" s="112">
        <v>1.1048554227074467</v>
      </c>
      <c r="AQ63" s="112">
        <v>1.0994133267400832</v>
      </c>
      <c r="AR63" s="112">
        <v>1.0937585948049415</v>
      </c>
      <c r="AS63" s="112">
        <v>1.0911942882276067</v>
      </c>
      <c r="AT63" s="112">
        <v>1.0911942882276067</v>
      </c>
      <c r="AU63" s="112">
        <v>1.0723092722369414</v>
      </c>
      <c r="AV63" s="112">
        <v>1.0329835870769231</v>
      </c>
      <c r="AW63" s="112">
        <v>1.0074153846153846</v>
      </c>
      <c r="AX63" s="112"/>
      <c r="AY63" s="77"/>
    </row>
    <row r="64" spans="17:51" x14ac:dyDescent="0.25">
      <c r="R64" s="200"/>
      <c r="S64" s="3">
        <v>8</v>
      </c>
      <c r="T64" s="112">
        <v>1.4985115877640929</v>
      </c>
      <c r="U64" s="112">
        <v>1.4337354214241504</v>
      </c>
      <c r="V64" s="112">
        <v>1.3884309204886072</v>
      </c>
      <c r="W64" s="112">
        <v>1.3884309204886072</v>
      </c>
      <c r="X64" s="112">
        <v>1.3714794346760111</v>
      </c>
      <c r="Y64" s="112">
        <v>1.3565751951981018</v>
      </c>
      <c r="Z64" s="112">
        <v>1.3258940078563066</v>
      </c>
      <c r="AA64" s="112">
        <v>1.2947804340266469</v>
      </c>
      <c r="AB64" s="112">
        <v>1.2677023126288935</v>
      </c>
      <c r="AC64" s="112">
        <v>1.2401098680644591</v>
      </c>
      <c r="AD64" s="112">
        <v>1.2184219572258386</v>
      </c>
      <c r="AE64" s="112">
        <v>1.2002619932676986</v>
      </c>
      <c r="AF64" s="112">
        <v>1.179270970001669</v>
      </c>
      <c r="AG64" s="112">
        <v>1.161175977682779</v>
      </c>
      <c r="AH64" s="112">
        <v>1.1280854705467411</v>
      </c>
      <c r="AI64" s="112">
        <v>1.1208930733262312</v>
      </c>
      <c r="AJ64" s="112">
        <v>1.1051556567737724</v>
      </c>
      <c r="AK64" s="112">
        <v>1.1051556567737724</v>
      </c>
      <c r="AL64" s="112">
        <v>1.1051556567737724</v>
      </c>
      <c r="AM64" s="112">
        <v>1.1051556567737724</v>
      </c>
      <c r="AN64" s="112">
        <v>1.1041619110538241</v>
      </c>
      <c r="AO64" s="112">
        <v>1.1041619110538241</v>
      </c>
      <c r="AP64" s="112">
        <v>1.1041619110538241</v>
      </c>
      <c r="AQ64" s="112">
        <v>1.0987232310600765</v>
      </c>
      <c r="AR64" s="112">
        <v>1.0930720485689751</v>
      </c>
      <c r="AS64" s="112">
        <v>1.0905093515927324</v>
      </c>
      <c r="AT64" s="112">
        <v>1.0905093515927324</v>
      </c>
      <c r="AU64" s="112">
        <v>1.0721083977919628</v>
      </c>
      <c r="AV64" s="112">
        <v>1.0327900794666667</v>
      </c>
      <c r="AW64" s="112">
        <v>1.0072266666666667</v>
      </c>
      <c r="AX64" s="112"/>
      <c r="AY64" s="77"/>
    </row>
    <row r="65" spans="18:51" x14ac:dyDescent="0.25">
      <c r="R65" s="200"/>
      <c r="S65" s="3">
        <v>9</v>
      </c>
      <c r="T65" s="112">
        <v>1.4455489076215007</v>
      </c>
      <c r="U65" s="112">
        <v>1.3837911237627472</v>
      </c>
      <c r="V65" s="112">
        <v>1.3405810424560538</v>
      </c>
      <c r="W65" s="112">
        <v>1.3405810424560538</v>
      </c>
      <c r="X65" s="112">
        <v>1.3257019872113527</v>
      </c>
      <c r="Y65" s="112">
        <v>1.3126068040369596</v>
      </c>
      <c r="Z65" s="112">
        <v>1.2834572255208656</v>
      </c>
      <c r="AA65" s="112">
        <v>1.2538840025317421</v>
      </c>
      <c r="AB65" s="112">
        <v>1.2281364823949443</v>
      </c>
      <c r="AC65" s="112">
        <v>1.2018893401864608</v>
      </c>
      <c r="AD65" s="112">
        <v>1.181252169923676</v>
      </c>
      <c r="AE65" s="112">
        <v>1.1639672561695584</v>
      </c>
      <c r="AF65" s="112">
        <v>1.143981231131554</v>
      </c>
      <c r="AG65" s="112">
        <v>1.143981231131554</v>
      </c>
      <c r="AH65" s="112">
        <v>1.1120586075729884</v>
      </c>
      <c r="AI65" s="112">
        <v>1.1051191096345478</v>
      </c>
      <c r="AJ65" s="112">
        <v>1.089886345186529</v>
      </c>
      <c r="AK65" s="112">
        <v>1.089886345186529</v>
      </c>
      <c r="AL65" s="112">
        <v>1.089886345186529</v>
      </c>
      <c r="AM65" s="112">
        <v>1.089886345186529</v>
      </c>
      <c r="AN65" s="112">
        <v>1.0889063294899886</v>
      </c>
      <c r="AO65" s="112">
        <v>1.0889063294899886</v>
      </c>
      <c r="AP65" s="112">
        <v>1.0889063294899886</v>
      </c>
      <c r="AQ65" s="112">
        <v>1.0835427926662902</v>
      </c>
      <c r="AR65" s="112">
        <v>1.0782056745771333</v>
      </c>
      <c r="AS65" s="112">
        <v>1.075785157971697</v>
      </c>
      <c r="AT65" s="112">
        <v>1.075785157971697</v>
      </c>
      <c r="AU65" s="112">
        <v>1.0579891579877789</v>
      </c>
      <c r="AV65" s="112">
        <v>1.0272038583529413</v>
      </c>
      <c r="AW65" s="112">
        <v>1.0070823529411765</v>
      </c>
      <c r="AX65" s="112"/>
      <c r="AY65" s="77"/>
    </row>
    <row r="66" spans="18:51" x14ac:dyDescent="0.25">
      <c r="R66" s="200"/>
      <c r="S66" s="3">
        <v>10</v>
      </c>
      <c r="T66" s="112">
        <v>1.4355700581531381</v>
      </c>
      <c r="U66" s="112">
        <v>1.3748106627070786</v>
      </c>
      <c r="V66" s="112">
        <v>1.3322861910970365</v>
      </c>
      <c r="W66" s="112">
        <v>1.3322861910970365</v>
      </c>
      <c r="X66" s="112">
        <v>1.3190402500595959</v>
      </c>
      <c r="Y66" s="112">
        <v>1.3073702503511986</v>
      </c>
      <c r="Z66" s="112">
        <v>1.2787596849783411</v>
      </c>
      <c r="AA66" s="112">
        <v>1.24972334957467</v>
      </c>
      <c r="AB66" s="112">
        <v>1.2244355336069146</v>
      </c>
      <c r="AC66" s="112">
        <v>1.1986488124444585</v>
      </c>
      <c r="AD66" s="112">
        <v>1.1783684708669067</v>
      </c>
      <c r="AE66" s="112">
        <v>1.1613787226583336</v>
      </c>
      <c r="AF66" s="112">
        <v>1.1417289662393719</v>
      </c>
      <c r="AG66" s="112">
        <v>1.1417289662393719</v>
      </c>
      <c r="AH66" s="112">
        <v>1.110403888132067</v>
      </c>
      <c r="AI66" s="112">
        <v>1.103593554225073</v>
      </c>
      <c r="AJ66" s="112">
        <v>1.0886051797501963</v>
      </c>
      <c r="AK66" s="112">
        <v>1.0886051797501963</v>
      </c>
      <c r="AL66" s="112">
        <v>1.0886051797501963</v>
      </c>
      <c r="AM66" s="112">
        <v>1.0886051797501963</v>
      </c>
      <c r="AN66" s="112">
        <v>1.0876263160657376</v>
      </c>
      <c r="AO66" s="112">
        <v>1.0876263160657376</v>
      </c>
      <c r="AP66" s="112">
        <v>1.0876263160657376</v>
      </c>
      <c r="AQ66" s="112">
        <v>1.0822690840994453</v>
      </c>
      <c r="AR66" s="112">
        <v>1.077527961070734</v>
      </c>
      <c r="AS66" s="112">
        <v>1.075377206657419</v>
      </c>
      <c r="AT66" s="112">
        <v>1.075377206657419</v>
      </c>
      <c r="AU66" s="112">
        <v>1.0578694669789179</v>
      </c>
      <c r="AV66" s="112">
        <v>1.0270876501052633</v>
      </c>
      <c r="AW66" s="112">
        <v>1.0069684210526315</v>
      </c>
      <c r="AX66" s="112"/>
      <c r="AY66" s="77"/>
    </row>
    <row r="67" spans="18:51" x14ac:dyDescent="0.25">
      <c r="R67" s="200"/>
      <c r="S67" s="3" t="s">
        <v>0</v>
      </c>
      <c r="T67" s="112">
        <v>1.4115436004661457</v>
      </c>
      <c r="U67" s="112">
        <v>1.3522567988152321</v>
      </c>
      <c r="V67" s="112">
        <v>1.3107527492618203</v>
      </c>
      <c r="W67" s="112">
        <v>1.3107527492618203</v>
      </c>
      <c r="X67" s="112">
        <v>1.2989508529408145</v>
      </c>
      <c r="Y67" s="112">
        <v>1.2885443235468359</v>
      </c>
      <c r="Z67" s="112">
        <v>1.2606832242900263</v>
      </c>
      <c r="AA67" s="112">
        <v>1.2323996522704206</v>
      </c>
      <c r="AB67" s="112">
        <v>1.2077613213155829</v>
      </c>
      <c r="AC67" s="112">
        <v>1.1826304247888209</v>
      </c>
      <c r="AD67" s="112">
        <v>1.1628617746202756</v>
      </c>
      <c r="AE67" s="112">
        <v>1.1462977718175129</v>
      </c>
      <c r="AF67" s="112">
        <v>1.1271364521312812</v>
      </c>
      <c r="AG67" s="112">
        <v>1.1271364521312812</v>
      </c>
      <c r="AH67" s="112">
        <v>1.0966394317437407</v>
      </c>
      <c r="AI67" s="112">
        <v>1.0900085464196878</v>
      </c>
      <c r="AJ67" s="112">
        <v>1.075383333089668</v>
      </c>
      <c r="AK67" s="112">
        <v>1.075383333089668</v>
      </c>
      <c r="AL67" s="112">
        <v>1.075383333089668</v>
      </c>
      <c r="AM67" s="112">
        <v>1.075383333089668</v>
      </c>
      <c r="AN67" s="112">
        <v>1.0744163583671378</v>
      </c>
      <c r="AO67" s="112">
        <v>1.0744163583671378</v>
      </c>
      <c r="AP67" s="112">
        <v>1.0744163583671378</v>
      </c>
      <c r="AQ67" s="112">
        <v>1.0691241936087743</v>
      </c>
      <c r="AR67" s="112">
        <v>1.0644406547279712</v>
      </c>
      <c r="AS67" s="112">
        <v>1.0623160226826061</v>
      </c>
      <c r="AT67" s="112">
        <v>1.0623160226826061</v>
      </c>
      <c r="AU67" s="112">
        <v>1.0452461574587733</v>
      </c>
      <c r="AV67" s="112">
        <v>1.0188378796190478</v>
      </c>
      <c r="AW67" s="112">
        <v>1.0068761904761905</v>
      </c>
      <c r="AX67" s="112"/>
      <c r="AY67" s="47"/>
    </row>
    <row r="68" spans="18:51" x14ac:dyDescent="0.25">
      <c r="R68" s="201" t="s">
        <v>53</v>
      </c>
      <c r="S68" s="201"/>
      <c r="T68" s="112">
        <v>1.8553567258702566</v>
      </c>
      <c r="U68" s="112">
        <v>1.7603004989281368</v>
      </c>
      <c r="V68" s="112">
        <v>1.694225696754704</v>
      </c>
      <c r="W68" s="112">
        <v>1.665905306543465</v>
      </c>
      <c r="X68" s="112">
        <v>1.6364492205731485</v>
      </c>
      <c r="Y68" s="112">
        <v>1.6106783667058546</v>
      </c>
      <c r="Z68" s="112">
        <v>1.5698619558536595</v>
      </c>
      <c r="AA68" s="112">
        <v>1.5285900251739624</v>
      </c>
      <c r="AB68" s="112">
        <v>1.4927636964589484</v>
      </c>
      <c r="AC68" s="112">
        <v>1.456354825813607</v>
      </c>
      <c r="AD68" s="112">
        <v>1.4277988488368705</v>
      </c>
      <c r="AE68" s="112">
        <v>1.403932004756018</v>
      </c>
      <c r="AF68" s="112">
        <v>1.376403926231391</v>
      </c>
      <c r="AG68" s="112">
        <v>1.3533961909846517</v>
      </c>
      <c r="AH68" s="112">
        <v>1.311430417620786</v>
      </c>
      <c r="AI68" s="112">
        <v>1.3023142180941274</v>
      </c>
      <c r="AJ68" s="112">
        <v>1.2818053327698105</v>
      </c>
      <c r="AK68" s="112">
        <v>1.248106458393194</v>
      </c>
      <c r="AL68" s="112">
        <v>1.2117538431001891</v>
      </c>
      <c r="AM68" s="112">
        <v>1.1985695777449943</v>
      </c>
      <c r="AN68" s="112">
        <v>1.1961772232983969</v>
      </c>
      <c r="AO68" s="112">
        <v>1.1973745978962933</v>
      </c>
      <c r="AP68" s="112">
        <v>1.1985731710673606</v>
      </c>
      <c r="AQ68" s="112">
        <v>1.1855323155958069</v>
      </c>
      <c r="AR68" s="112">
        <v>1.1726333487594531</v>
      </c>
      <c r="AS68" s="112">
        <v>1.1667993519994559</v>
      </c>
      <c r="AT68" s="112">
        <v>1.1703102828479999</v>
      </c>
      <c r="AU68" s="112">
        <v>1.1484889920000001</v>
      </c>
      <c r="AV68" s="112">
        <v>1.062432</v>
      </c>
      <c r="AW68" s="112">
        <v>1.008</v>
      </c>
      <c r="AX68" s="112"/>
      <c r="AY68" s="47"/>
    </row>
    <row r="72" spans="18:51" x14ac:dyDescent="0.25">
      <c r="T72" s="111">
        <v>1995</v>
      </c>
      <c r="U72" s="111">
        <v>1996</v>
      </c>
      <c r="V72" s="111">
        <v>1997</v>
      </c>
      <c r="W72" s="111">
        <v>1998</v>
      </c>
      <c r="X72" s="111">
        <v>1999</v>
      </c>
      <c r="Y72" s="111">
        <v>2000</v>
      </c>
      <c r="Z72" s="111">
        <v>2001</v>
      </c>
      <c r="AA72" s="111">
        <v>2002</v>
      </c>
      <c r="AB72" s="111">
        <v>2003</v>
      </c>
      <c r="AC72" s="111">
        <v>2004</v>
      </c>
      <c r="AD72" s="111">
        <v>2005</v>
      </c>
      <c r="AE72" s="111">
        <v>2006</v>
      </c>
      <c r="AF72" s="111">
        <v>2007</v>
      </c>
      <c r="AG72" s="111">
        <v>2008</v>
      </c>
      <c r="AH72" s="111">
        <v>2009</v>
      </c>
      <c r="AI72" s="111">
        <v>2010</v>
      </c>
      <c r="AJ72" s="111">
        <v>2011</v>
      </c>
      <c r="AK72" s="111">
        <v>2012</v>
      </c>
      <c r="AL72" s="111">
        <v>2013</v>
      </c>
      <c r="AM72" s="111">
        <v>2014</v>
      </c>
      <c r="AN72" s="111">
        <v>2015</v>
      </c>
      <c r="AO72" s="111">
        <v>2016</v>
      </c>
      <c r="AP72" s="111">
        <v>2017</v>
      </c>
      <c r="AQ72" s="111">
        <v>2018</v>
      </c>
      <c r="AR72" s="111">
        <v>2019</v>
      </c>
      <c r="AS72" s="111">
        <v>2020</v>
      </c>
      <c r="AT72" s="111">
        <v>2021</v>
      </c>
      <c r="AU72" s="111">
        <v>2022</v>
      </c>
      <c r="AV72" s="111">
        <v>2023</v>
      </c>
      <c r="AW72" s="111">
        <v>2024</v>
      </c>
      <c r="AX72" s="111">
        <v>2025</v>
      </c>
      <c r="AY72" s="111">
        <v>2026</v>
      </c>
    </row>
    <row r="73" spans="18:51" x14ac:dyDescent="0.25">
      <c r="R73" s="200" t="s">
        <v>1</v>
      </c>
      <c r="S73" s="3">
        <v>1</v>
      </c>
      <c r="T73" s="113">
        <f>T57/T$68</f>
        <v>1.0050180581795447</v>
      </c>
      <c r="U73" s="113">
        <f t="shared" ref="U73:AW73" si="19">U57/U$68</f>
        <v>1.0050180581795447</v>
      </c>
      <c r="V73" s="113">
        <f t="shared" si="19"/>
        <v>1.0050180581795445</v>
      </c>
      <c r="W73" s="113">
        <f t="shared" si="19"/>
        <v>1.0050180581795445</v>
      </c>
      <c r="X73" s="113">
        <f t="shared" si="19"/>
        <v>1.0050180581795445</v>
      </c>
      <c r="Y73" s="113">
        <f t="shared" si="19"/>
        <v>1.0050180581795449</v>
      </c>
      <c r="Z73" s="113">
        <f t="shared" si="19"/>
        <v>1.0050180581795445</v>
      </c>
      <c r="AA73" s="113">
        <f t="shared" si="19"/>
        <v>1.0050180581795447</v>
      </c>
      <c r="AB73" s="113">
        <f t="shared" si="19"/>
        <v>1.0050180581795443</v>
      </c>
      <c r="AC73" s="113">
        <f t="shared" si="19"/>
        <v>1.0050180581795447</v>
      </c>
      <c r="AD73" s="113">
        <f t="shared" si="19"/>
        <v>1.0050180581795445</v>
      </c>
      <c r="AE73" s="113">
        <f t="shared" si="19"/>
        <v>1.0050180581795445</v>
      </c>
      <c r="AF73" s="113">
        <f t="shared" si="19"/>
        <v>1.0050180581795445</v>
      </c>
      <c r="AG73" s="113">
        <f t="shared" si="19"/>
        <v>1.0050180581795447</v>
      </c>
      <c r="AH73" s="113">
        <f>AH57/AH$68</f>
        <v>1.0050180581795443</v>
      </c>
      <c r="AI73" s="113">
        <f>AI57/AI$68</f>
        <v>1.0050180581795445</v>
      </c>
      <c r="AJ73" s="113">
        <f t="shared" si="19"/>
        <v>1.0050180581795447</v>
      </c>
      <c r="AK73" s="113">
        <f t="shared" si="19"/>
        <v>1.0050180581795447</v>
      </c>
      <c r="AL73" s="113">
        <f t="shared" si="19"/>
        <v>1.0050180581795445</v>
      </c>
      <c r="AM73" s="113">
        <f t="shared" si="19"/>
        <v>1.0050180581795443</v>
      </c>
      <c r="AN73" s="113">
        <f t="shared" si="19"/>
        <v>1.0050180581795445</v>
      </c>
      <c r="AO73" s="113">
        <f t="shared" si="19"/>
        <v>1.0040130401213649</v>
      </c>
      <c r="AP73" s="113">
        <f t="shared" si="19"/>
        <v>1.0030090270812435</v>
      </c>
      <c r="AQ73" s="113">
        <f t="shared" si="19"/>
        <v>1.0030090270812437</v>
      </c>
      <c r="AR73" s="113">
        <f t="shared" si="19"/>
        <v>1.0030090270812437</v>
      </c>
      <c r="AS73" s="113">
        <f t="shared" si="19"/>
        <v>1.0030090270812437</v>
      </c>
      <c r="AT73" s="113">
        <f t="shared" si="19"/>
        <v>1</v>
      </c>
      <c r="AU73" s="113">
        <f t="shared" si="19"/>
        <v>1</v>
      </c>
      <c r="AV73" s="113">
        <f t="shared" si="19"/>
        <v>1</v>
      </c>
      <c r="AW73" s="113">
        <f t="shared" si="19"/>
        <v>1</v>
      </c>
      <c r="AX73" s="112"/>
      <c r="AY73" s="77"/>
    </row>
    <row r="74" spans="18:51" x14ac:dyDescent="0.25">
      <c r="R74" s="200"/>
      <c r="S74" s="3">
        <v>2</v>
      </c>
      <c r="T74" s="113">
        <f t="shared" ref="T74:T82" si="20">T58/T$68</f>
        <v>1.0050180581795447</v>
      </c>
      <c r="U74" s="113">
        <f t="shared" ref="U74:AW74" si="21">U58/U$68</f>
        <v>1.0050180581795447</v>
      </c>
      <c r="V74" s="113">
        <f t="shared" si="21"/>
        <v>1.0050180581795445</v>
      </c>
      <c r="W74" s="113">
        <f t="shared" si="21"/>
        <v>1.0050180581795445</v>
      </c>
      <c r="X74" s="113">
        <f t="shared" si="21"/>
        <v>1.0050180581795445</v>
      </c>
      <c r="Y74" s="113">
        <f t="shared" si="21"/>
        <v>1.0050180581795449</v>
      </c>
      <c r="Z74" s="113">
        <f t="shared" si="21"/>
        <v>1.0050180581795445</v>
      </c>
      <c r="AA74" s="113">
        <f t="shared" si="21"/>
        <v>1.0050180581795447</v>
      </c>
      <c r="AB74" s="113">
        <f t="shared" si="21"/>
        <v>1.0050180581795443</v>
      </c>
      <c r="AC74" s="113">
        <f t="shared" si="21"/>
        <v>1.0050180581795447</v>
      </c>
      <c r="AD74" s="113">
        <f t="shared" si="21"/>
        <v>1.0050180581795445</v>
      </c>
      <c r="AE74" s="113">
        <f t="shared" si="21"/>
        <v>1.0050180581795445</v>
      </c>
      <c r="AF74" s="113">
        <f t="shared" si="21"/>
        <v>1.0050180581795445</v>
      </c>
      <c r="AG74" s="113">
        <f t="shared" si="21"/>
        <v>1.0050180581795447</v>
      </c>
      <c r="AH74" s="113">
        <f t="shared" si="21"/>
        <v>1.0050180581795443</v>
      </c>
      <c r="AI74" s="113">
        <f t="shared" si="21"/>
        <v>1.0050180581795445</v>
      </c>
      <c r="AJ74" s="113">
        <f t="shared" si="21"/>
        <v>1.0050180581795447</v>
      </c>
      <c r="AK74" s="113">
        <f t="shared" si="21"/>
        <v>1.0050180581795447</v>
      </c>
      <c r="AL74" s="113">
        <f t="shared" si="21"/>
        <v>1.0050180581795445</v>
      </c>
      <c r="AM74" s="113">
        <f t="shared" si="21"/>
        <v>1.0050180581795443</v>
      </c>
      <c r="AN74" s="113">
        <f t="shared" si="21"/>
        <v>1.0050180581795445</v>
      </c>
      <c r="AO74" s="113">
        <f t="shared" si="21"/>
        <v>1.0040130401213649</v>
      </c>
      <c r="AP74" s="113">
        <f t="shared" si="21"/>
        <v>1.0030090270812435</v>
      </c>
      <c r="AQ74" s="113">
        <f t="shared" si="21"/>
        <v>1.0030090270812437</v>
      </c>
      <c r="AR74" s="113">
        <f t="shared" si="21"/>
        <v>1.0030090270812437</v>
      </c>
      <c r="AS74" s="113">
        <f t="shared" si="21"/>
        <v>1.0030090270812437</v>
      </c>
      <c r="AT74" s="113">
        <f t="shared" si="21"/>
        <v>1</v>
      </c>
      <c r="AU74" s="113">
        <f t="shared" si="21"/>
        <v>1</v>
      </c>
      <c r="AV74" s="113">
        <f t="shared" si="21"/>
        <v>1</v>
      </c>
      <c r="AW74" s="113">
        <f t="shared" si="21"/>
        <v>1</v>
      </c>
      <c r="AX74" s="112"/>
      <c r="AY74" s="77"/>
    </row>
    <row r="75" spans="18:51" x14ac:dyDescent="0.25">
      <c r="R75" s="200"/>
      <c r="S75" s="3">
        <v>3</v>
      </c>
      <c r="T75" s="113">
        <f t="shared" si="20"/>
        <v>1.0022287126648628</v>
      </c>
      <c r="U75" s="113">
        <f t="shared" ref="U75:AW75" si="22">U59/U$68</f>
        <v>1.0032567176506908</v>
      </c>
      <c r="V75" s="113">
        <f t="shared" si="22"/>
        <v>1.0040104502312301</v>
      </c>
      <c r="W75" s="113">
        <f t="shared" si="22"/>
        <v>1.0043462198622557</v>
      </c>
      <c r="X75" s="113">
        <f t="shared" si="22"/>
        <v>1.0047015170588582</v>
      </c>
      <c r="Y75" s="113">
        <f t="shared" si="22"/>
        <v>1.0050180581795449</v>
      </c>
      <c r="Z75" s="113">
        <f t="shared" si="22"/>
        <v>1.0050180581795445</v>
      </c>
      <c r="AA75" s="113">
        <f t="shared" si="22"/>
        <v>1.0050180581795447</v>
      </c>
      <c r="AB75" s="113">
        <f t="shared" si="22"/>
        <v>1.0050180581795443</v>
      </c>
      <c r="AC75" s="113">
        <f t="shared" si="22"/>
        <v>1.0050180581795447</v>
      </c>
      <c r="AD75" s="113">
        <f t="shared" si="22"/>
        <v>1.0050180581795445</v>
      </c>
      <c r="AE75" s="113">
        <f t="shared" si="22"/>
        <v>1.0050180581795445</v>
      </c>
      <c r="AF75" s="113">
        <f t="shared" si="22"/>
        <v>1.0050180581795445</v>
      </c>
      <c r="AG75" s="113">
        <f t="shared" si="22"/>
        <v>1.0050180581795447</v>
      </c>
      <c r="AH75" s="113">
        <f t="shared" si="22"/>
        <v>1.0050180581795443</v>
      </c>
      <c r="AI75" s="113">
        <f t="shared" si="22"/>
        <v>1.0050180581795445</v>
      </c>
      <c r="AJ75" s="113">
        <f t="shared" si="22"/>
        <v>1.0050180581795447</v>
      </c>
      <c r="AK75" s="113">
        <f t="shared" si="22"/>
        <v>1.0050180581795447</v>
      </c>
      <c r="AL75" s="113">
        <f t="shared" si="22"/>
        <v>1.0050180581795445</v>
      </c>
      <c r="AM75" s="113">
        <f t="shared" si="22"/>
        <v>1.0050180581795443</v>
      </c>
      <c r="AN75" s="113">
        <f t="shared" si="22"/>
        <v>1.0050180581795445</v>
      </c>
      <c r="AO75" s="113">
        <f t="shared" si="22"/>
        <v>1.0040130401213649</v>
      </c>
      <c r="AP75" s="113">
        <f t="shared" si="22"/>
        <v>1.0030090270812435</v>
      </c>
      <c r="AQ75" s="113">
        <f t="shared" si="22"/>
        <v>1.0030090270812437</v>
      </c>
      <c r="AR75" s="113">
        <f t="shared" si="22"/>
        <v>1.0030090270812437</v>
      </c>
      <c r="AS75" s="113">
        <f t="shared" si="22"/>
        <v>1.0030090270812437</v>
      </c>
      <c r="AT75" s="113">
        <f t="shared" si="22"/>
        <v>1</v>
      </c>
      <c r="AU75" s="113">
        <f t="shared" si="22"/>
        <v>1</v>
      </c>
      <c r="AV75" s="113">
        <f t="shared" si="22"/>
        <v>1</v>
      </c>
      <c r="AW75" s="113">
        <f t="shared" si="22"/>
        <v>1</v>
      </c>
      <c r="AX75" s="112"/>
      <c r="AY75" s="77"/>
    </row>
    <row r="76" spans="18:51" x14ac:dyDescent="0.25">
      <c r="R76" s="200"/>
      <c r="S76" s="3">
        <v>4</v>
      </c>
      <c r="T76" s="113">
        <f t="shared" si="20"/>
        <v>0.95942155960403308</v>
      </c>
      <c r="U76" s="113">
        <f t="shared" ref="U76:AW76" si="23">U60/U$68</f>
        <v>0.96259192879211264</v>
      </c>
      <c r="V76" s="113">
        <f t="shared" si="23"/>
        <v>0.96492031481231799</v>
      </c>
      <c r="W76" s="113">
        <f t="shared" si="23"/>
        <v>0.96595832312414531</v>
      </c>
      <c r="X76" s="113">
        <f t="shared" si="23"/>
        <v>0.96705756059830295</v>
      </c>
      <c r="Y76" s="113">
        <f t="shared" si="23"/>
        <v>0.96803757614220431</v>
      </c>
      <c r="Z76" s="113">
        <f t="shared" si="23"/>
        <v>0.96838814829279729</v>
      </c>
      <c r="AA76" s="113">
        <f t="shared" si="23"/>
        <v>0.96875198615099845</v>
      </c>
      <c r="AB76" s="113">
        <f t="shared" si="23"/>
        <v>0.96907645371362505</v>
      </c>
      <c r="AC76" s="113">
        <f t="shared" si="23"/>
        <v>0.96941422870620642</v>
      </c>
      <c r="AD76" s="113">
        <f t="shared" si="23"/>
        <v>0.96968584939231028</v>
      </c>
      <c r="AE76" s="113">
        <f t="shared" si="23"/>
        <v>0.96991746333916717</v>
      </c>
      <c r="AF76" s="113">
        <f t="shared" si="23"/>
        <v>0.97018922502684934</v>
      </c>
      <c r="AG76" s="113">
        <f t="shared" si="23"/>
        <v>0.97018922502685001</v>
      </c>
      <c r="AH76" s="113">
        <f t="shared" si="23"/>
        <v>0.97018922502685012</v>
      </c>
      <c r="AI76" s="113">
        <f t="shared" si="23"/>
        <v>0.97018922502685001</v>
      </c>
      <c r="AJ76" s="113">
        <f t="shared" si="23"/>
        <v>0.97040753943392188</v>
      </c>
      <c r="AK76" s="113">
        <f>AK60/AK$68</f>
        <v>0.98596017312884621</v>
      </c>
      <c r="AL76" s="113">
        <f t="shared" si="23"/>
        <v>1.0034970141528765</v>
      </c>
      <c r="AM76" s="113">
        <f t="shared" si="23"/>
        <v>1.0040432295596595</v>
      </c>
      <c r="AN76" s="113">
        <f t="shared" si="23"/>
        <v>1.0041434434761749</v>
      </c>
      <c r="AO76" s="113">
        <f t="shared" si="23"/>
        <v>1.0031393000326985</v>
      </c>
      <c r="AP76" s="113">
        <f t="shared" si="23"/>
        <v>1.002136160732666</v>
      </c>
      <c r="AQ76" s="113">
        <f t="shared" si="23"/>
        <v>1.0026816354106831</v>
      </c>
      <c r="AR76" s="113">
        <f t="shared" si="23"/>
        <v>1.0030090270812437</v>
      </c>
      <c r="AS76" s="113">
        <f t="shared" si="23"/>
        <v>1.0030090270812437</v>
      </c>
      <c r="AT76" s="113">
        <f t="shared" si="23"/>
        <v>1</v>
      </c>
      <c r="AU76" s="113">
        <f t="shared" si="23"/>
        <v>1</v>
      </c>
      <c r="AV76" s="113">
        <f t="shared" si="23"/>
        <v>1</v>
      </c>
      <c r="AW76" s="113">
        <f t="shared" si="23"/>
        <v>1</v>
      </c>
      <c r="AX76" s="112"/>
      <c r="AY76" s="77"/>
    </row>
    <row r="77" spans="18:51" x14ac:dyDescent="0.25">
      <c r="R77" s="200"/>
      <c r="S77" s="3">
        <v>5</v>
      </c>
      <c r="T77" s="113">
        <f t="shared" si="20"/>
        <v>0.90102115138685401</v>
      </c>
      <c r="U77" s="113">
        <f t="shared" ref="U77:AW77" si="24">U61/U$68</f>
        <v>0.90592034108723096</v>
      </c>
      <c r="V77" s="113">
        <f t="shared" si="24"/>
        <v>0.90952400533680033</v>
      </c>
      <c r="W77" s="113">
        <f t="shared" si="24"/>
        <v>0.92498591342752601</v>
      </c>
      <c r="X77" s="113">
        <f t="shared" si="24"/>
        <v>0.92671553968036724</v>
      </c>
      <c r="Y77" s="113">
        <f t="shared" si="24"/>
        <v>0.92825857668448009</v>
      </c>
      <c r="Z77" s="113">
        <f t="shared" si="24"/>
        <v>0.92904334364142216</v>
      </c>
      <c r="AA77" s="113">
        <f t="shared" si="24"/>
        <v>0.92985821452074913</v>
      </c>
      <c r="AB77" s="113">
        <f t="shared" si="24"/>
        <v>0.93058523423499451</v>
      </c>
      <c r="AC77" s="113">
        <f t="shared" si="24"/>
        <v>0.93134242319694405</v>
      </c>
      <c r="AD77" s="113">
        <f t="shared" si="24"/>
        <v>0.93195154185174844</v>
      </c>
      <c r="AE77" s="113">
        <f t="shared" si="24"/>
        <v>0.9324711094971585</v>
      </c>
      <c r="AF77" s="113">
        <f t="shared" si="24"/>
        <v>0.93308096633790183</v>
      </c>
      <c r="AG77" s="113">
        <f t="shared" si="24"/>
        <v>0.93308096633790194</v>
      </c>
      <c r="AH77" s="113">
        <f t="shared" si="24"/>
        <v>0.93308096633790227</v>
      </c>
      <c r="AI77" s="113">
        <f t="shared" si="24"/>
        <v>0.93308096633790216</v>
      </c>
      <c r="AJ77" s="113">
        <f t="shared" si="24"/>
        <v>0.93357102987064255</v>
      </c>
      <c r="AK77" s="113">
        <f t="shared" si="24"/>
        <v>0.95362785724801058</v>
      </c>
      <c r="AL77" s="113">
        <f t="shared" si="24"/>
        <v>0.97637842243086537</v>
      </c>
      <c r="AM77" s="113">
        <f t="shared" si="24"/>
        <v>0.97904149276231567</v>
      </c>
      <c r="AN77" s="113">
        <f t="shared" si="24"/>
        <v>0.97953028032734935</v>
      </c>
      <c r="AO77" s="113">
        <f t="shared" si="24"/>
        <v>0.97855075004702197</v>
      </c>
      <c r="AP77" s="113">
        <f t="shared" si="24"/>
        <v>0.97757219929697503</v>
      </c>
      <c r="AQ77" s="113">
        <f t="shared" si="24"/>
        <v>0.98023852565260761</v>
      </c>
      <c r="AR77" s="113">
        <f t="shared" si="24"/>
        <v>0.98269769991649336</v>
      </c>
      <c r="AS77" s="113">
        <f t="shared" si="24"/>
        <v>0.98382346806402921</v>
      </c>
      <c r="AT77" s="113">
        <f t="shared" si="24"/>
        <v>0.98087199765983724</v>
      </c>
      <c r="AU77" s="113">
        <f t="shared" si="24"/>
        <v>0.98107525171918342</v>
      </c>
      <c r="AV77" s="113">
        <f t="shared" si="24"/>
        <v>0.99222748478124834</v>
      </c>
      <c r="AW77" s="113">
        <f t="shared" si="24"/>
        <v>0.99991181657848338</v>
      </c>
      <c r="AX77" s="112"/>
      <c r="AY77" s="77"/>
    </row>
    <row r="78" spans="18:51" x14ac:dyDescent="0.25">
      <c r="R78" s="200"/>
      <c r="S78" s="3">
        <v>6</v>
      </c>
      <c r="T78" s="113">
        <f t="shared" si="20"/>
        <v>0.84190147692145745</v>
      </c>
      <c r="U78" s="113">
        <f t="shared" ref="U78:AW78" si="25">U62/U$68</f>
        <v>0.84762591274758659</v>
      </c>
      <c r="V78" s="113">
        <f t="shared" si="25"/>
        <v>0.85184076929704333</v>
      </c>
      <c r="W78" s="113">
        <f t="shared" si="25"/>
        <v>0.86632206237509313</v>
      </c>
      <c r="X78" s="113">
        <f t="shared" si="25"/>
        <v>0.86897601663199719</v>
      </c>
      <c r="Y78" s="113">
        <f t="shared" si="25"/>
        <v>0.87134617803251513</v>
      </c>
      <c r="Z78" s="113">
        <f t="shared" si="25"/>
        <v>0.8726529150752913</v>
      </c>
      <c r="AA78" s="113">
        <f t="shared" si="25"/>
        <v>0.87401069924558084</v>
      </c>
      <c r="AB78" s="113">
        <f t="shared" si="25"/>
        <v>0.87522283314091087</v>
      </c>
      <c r="AC78" s="113">
        <f t="shared" si="25"/>
        <v>0.87648606138903318</v>
      </c>
      <c r="AD78" s="113">
        <f t="shared" si="25"/>
        <v>0.87750277583518721</v>
      </c>
      <c r="AE78" s="113">
        <f t="shared" si="25"/>
        <v>0.87837038938687462</v>
      </c>
      <c r="AF78" s="113">
        <f t="shared" si="25"/>
        <v>0.87938928963332985</v>
      </c>
      <c r="AG78" s="113">
        <f t="shared" si="25"/>
        <v>0.87972350120749043</v>
      </c>
      <c r="AH78" s="113">
        <f t="shared" si="25"/>
        <v>0.88034389859903328</v>
      </c>
      <c r="AI78" s="113">
        <f t="shared" si="25"/>
        <v>0.88048300171838001</v>
      </c>
      <c r="AJ78" s="113">
        <f t="shared" si="25"/>
        <v>0.8813031119872301</v>
      </c>
      <c r="AK78" s="113">
        <f t="shared" si="25"/>
        <v>0.90266111101115543</v>
      </c>
      <c r="AL78" s="113">
        <f t="shared" si="25"/>
        <v>0.92696006414904264</v>
      </c>
      <c r="AM78" s="113">
        <f t="shared" si="25"/>
        <v>0.93203045733931567</v>
      </c>
      <c r="AN78" s="113">
        <f t="shared" si="25"/>
        <v>0.93296155669729752</v>
      </c>
      <c r="AO78" s="113">
        <f t="shared" si="25"/>
        <v>0.9320285951406001</v>
      </c>
      <c r="AP78" s="113">
        <f t="shared" si="25"/>
        <v>0.93109656654545958</v>
      </c>
      <c r="AQ78" s="113">
        <f t="shared" si="25"/>
        <v>0.93618958605416136</v>
      </c>
      <c r="AR78" s="113">
        <f t="shared" si="25"/>
        <v>0.94110455345499455</v>
      </c>
      <c r="AS78" s="113">
        <f t="shared" si="25"/>
        <v>0.94335734711975805</v>
      </c>
      <c r="AT78" s="113">
        <f t="shared" si="25"/>
        <v>0.94052727507839884</v>
      </c>
      <c r="AU78" s="113">
        <f t="shared" si="25"/>
        <v>0.9412452380354156</v>
      </c>
      <c r="AV78" s="113">
        <f t="shared" si="25"/>
        <v>0.97560344636388285</v>
      </c>
      <c r="AW78" s="113">
        <f t="shared" si="25"/>
        <v>0.99967532467532472</v>
      </c>
      <c r="AX78" s="112"/>
      <c r="AY78" s="77"/>
    </row>
    <row r="79" spans="18:51" x14ac:dyDescent="0.25">
      <c r="R79" s="200"/>
      <c r="S79" s="3">
        <v>7</v>
      </c>
      <c r="T79" s="113">
        <f t="shared" si="20"/>
        <v>0.81848699377704048</v>
      </c>
      <c r="U79" s="113">
        <f t="shared" ref="U79:AW79" si="26">U63/U$68</f>
        <v>0.82482578778181548</v>
      </c>
      <c r="V79" s="113">
        <f t="shared" si="26"/>
        <v>0.8294961946525734</v>
      </c>
      <c r="W79" s="113">
        <f t="shared" si="26"/>
        <v>0.84359762996166721</v>
      </c>
      <c r="X79" s="113">
        <f t="shared" si="26"/>
        <v>0.84740113816834661</v>
      </c>
      <c r="Y79" s="113">
        <f t="shared" si="26"/>
        <v>0.8508022860106671</v>
      </c>
      <c r="Z79" s="113">
        <f t="shared" si="26"/>
        <v>0.85271382772974935</v>
      </c>
      <c r="AA79" s="113">
        <f t="shared" si="26"/>
        <v>0.85470158026268006</v>
      </c>
      <c r="AB79" s="113">
        <f t="shared" si="26"/>
        <v>0.85647732953364764</v>
      </c>
      <c r="AC79" s="113">
        <f t="shared" si="26"/>
        <v>0.85832925945555083</v>
      </c>
      <c r="AD79" s="113">
        <f t="shared" si="26"/>
        <v>0.85982065274462449</v>
      </c>
      <c r="AE79" s="113">
        <f t="shared" si="26"/>
        <v>0.86109395937087829</v>
      </c>
      <c r="AF79" s="113">
        <f t="shared" si="26"/>
        <v>0.86259015647486881</v>
      </c>
      <c r="AG79" s="113">
        <f t="shared" si="26"/>
        <v>0.86342281973419954</v>
      </c>
      <c r="AH79" s="113">
        <f t="shared" si="26"/>
        <v>0.86497017245773788</v>
      </c>
      <c r="AI79" s="113">
        <f t="shared" si="26"/>
        <v>0.86531719829923759</v>
      </c>
      <c r="AJ79" s="113">
        <f t="shared" si="26"/>
        <v>0.86652434911872434</v>
      </c>
      <c r="AK79" s="113">
        <f t="shared" si="26"/>
        <v>0.88992050654493005</v>
      </c>
      <c r="AL79" s="113">
        <f t="shared" si="26"/>
        <v>0.91661812174127744</v>
      </c>
      <c r="AM79" s="113">
        <f t="shared" si="26"/>
        <v>0.92264129936323336</v>
      </c>
      <c r="AN79" s="113">
        <f t="shared" si="26"/>
        <v>0.92365529219898113</v>
      </c>
      <c r="AO79" s="113">
        <f t="shared" si="26"/>
        <v>0.92273163690678206</v>
      </c>
      <c r="AP79" s="113">
        <f t="shared" si="26"/>
        <v>0.92180890526987536</v>
      </c>
      <c r="AQ79" s="113">
        <f t="shared" si="26"/>
        <v>0.92735837925055353</v>
      </c>
      <c r="AR79" s="113">
        <f t="shared" si="26"/>
        <v>0.93273707076644685</v>
      </c>
      <c r="AS79" s="113">
        <f t="shared" si="26"/>
        <v>0.93520302900212393</v>
      </c>
      <c r="AT79" s="113">
        <f t="shared" si="26"/>
        <v>0.93239741991511771</v>
      </c>
      <c r="AU79" s="113">
        <f t="shared" si="26"/>
        <v>0.93366961260081571</v>
      </c>
      <c r="AV79" s="113">
        <f t="shared" si="26"/>
        <v>0.97228207271328704</v>
      </c>
      <c r="AW79" s="113">
        <f t="shared" si="26"/>
        <v>0.99942002442002442</v>
      </c>
      <c r="AX79" s="112"/>
      <c r="AY79" s="77"/>
    </row>
    <row r="80" spans="18:51" x14ac:dyDescent="0.25">
      <c r="R80" s="200"/>
      <c r="S80" s="3">
        <v>8</v>
      </c>
      <c r="T80" s="113">
        <f t="shared" si="20"/>
        <v>0.80766763979644662</v>
      </c>
      <c r="U80" s="113">
        <f t="shared" ref="U80:AW80" si="27">U64/U$68</f>
        <v>0.81448333525847727</v>
      </c>
      <c r="V80" s="113">
        <f t="shared" si="27"/>
        <v>0.81950765069149412</v>
      </c>
      <c r="W80" s="113">
        <f t="shared" si="27"/>
        <v>0.83343928075324958</v>
      </c>
      <c r="X80" s="113">
        <f t="shared" si="27"/>
        <v>0.8380824882520127</v>
      </c>
      <c r="Y80" s="113">
        <f t="shared" si="27"/>
        <v>0.84223841534083399</v>
      </c>
      <c r="Z80" s="113">
        <f t="shared" si="27"/>
        <v>0.84459273817825087</v>
      </c>
      <c r="AA80" s="113">
        <f t="shared" si="27"/>
        <v>0.84704231527305263</v>
      </c>
      <c r="AB80" s="113">
        <f t="shared" si="27"/>
        <v>0.8492317408549438</v>
      </c>
      <c r="AC80" s="113">
        <f t="shared" si="27"/>
        <v>0.85151629677311602</v>
      </c>
      <c r="AD80" s="113">
        <f t="shared" si="27"/>
        <v>0.85335687041518704</v>
      </c>
      <c r="AE80" s="113">
        <f t="shared" si="27"/>
        <v>0.85492886350737896</v>
      </c>
      <c r="AF80" s="113">
        <f t="shared" si="27"/>
        <v>0.85677681349727464</v>
      </c>
      <c r="AG80" s="113">
        <f t="shared" si="27"/>
        <v>0.85797195634042345</v>
      </c>
      <c r="AH80" s="113">
        <f t="shared" si="27"/>
        <v>0.86019468161591706</v>
      </c>
      <c r="AI80" s="113">
        <f t="shared" si="27"/>
        <v>0.860693262618758</v>
      </c>
      <c r="AJ80" s="113">
        <f t="shared" si="27"/>
        <v>0.86218681458102397</v>
      </c>
      <c r="AK80" s="113">
        <f t="shared" si="27"/>
        <v>0.88546585857471183</v>
      </c>
      <c r="AL80" s="113">
        <f t="shared" si="27"/>
        <v>0.91202983433195262</v>
      </c>
      <c r="AM80" s="113">
        <f t="shared" si="27"/>
        <v>0.92206216250960404</v>
      </c>
      <c r="AN80" s="113">
        <f t="shared" si="27"/>
        <v>0.92307551886764294</v>
      </c>
      <c r="AO80" s="113">
        <f t="shared" si="27"/>
        <v>0.92215244334877522</v>
      </c>
      <c r="AP80" s="113">
        <f t="shared" si="27"/>
        <v>0.92123029090542652</v>
      </c>
      <c r="AQ80" s="113">
        <f t="shared" si="27"/>
        <v>0.92677628151190194</v>
      </c>
      <c r="AR80" s="113">
        <f t="shared" si="27"/>
        <v>0.93215159685280391</v>
      </c>
      <c r="AS80" s="113">
        <f t="shared" si="27"/>
        <v>0.93461600722010074</v>
      </c>
      <c r="AT80" s="113">
        <f t="shared" si="27"/>
        <v>0.93181215919844051</v>
      </c>
      <c r="AU80" s="113">
        <f t="shared" si="27"/>
        <v>0.93349470936153534</v>
      </c>
      <c r="AV80" s="113">
        <f t="shared" si="27"/>
        <v>0.97209993624690016</v>
      </c>
      <c r="AW80" s="113">
        <f t="shared" si="27"/>
        <v>0.99923280423280425</v>
      </c>
      <c r="AX80" s="112"/>
      <c r="AY80" s="77"/>
    </row>
    <row r="81" spans="17:52" x14ac:dyDescent="0.25">
      <c r="R81" s="200"/>
      <c r="S81" s="3">
        <v>9</v>
      </c>
      <c r="T81" s="113">
        <f t="shared" si="20"/>
        <v>0.77912181925201729</v>
      </c>
      <c r="U81" s="113">
        <f t="shared" ref="U81:AW81" si="28">U65/U$68</f>
        <v>0.78611073768674744</v>
      </c>
      <c r="V81" s="113">
        <f t="shared" si="28"/>
        <v>0.79126473233403438</v>
      </c>
      <c r="W81" s="113">
        <f t="shared" si="28"/>
        <v>0.80471623278371307</v>
      </c>
      <c r="X81" s="113">
        <f t="shared" si="28"/>
        <v>0.81010884453050125</v>
      </c>
      <c r="Y81" s="113">
        <f t="shared" si="28"/>
        <v>0.81494035753487626</v>
      </c>
      <c r="Z81" s="113">
        <f t="shared" si="28"/>
        <v>0.81756056367577068</v>
      </c>
      <c r="AA81" s="113">
        <f t="shared" si="28"/>
        <v>0.82028796595676001</v>
      </c>
      <c r="AB81" s="113">
        <f t="shared" si="28"/>
        <v>0.82272665480026208</v>
      </c>
      <c r="AC81" s="113">
        <f t="shared" si="28"/>
        <v>0.82527232984929577</v>
      </c>
      <c r="AD81" s="113">
        <f t="shared" si="28"/>
        <v>0.8273239405438384</v>
      </c>
      <c r="AE81" s="113">
        <f t="shared" si="28"/>
        <v>0.82907665914478401</v>
      </c>
      <c r="AF81" s="113">
        <f t="shared" si="28"/>
        <v>0.83113772732673552</v>
      </c>
      <c r="AG81" s="113">
        <f t="shared" si="28"/>
        <v>0.8452670686912902</v>
      </c>
      <c r="AH81" s="113">
        <f t="shared" si="28"/>
        <v>0.84797377934126261</v>
      </c>
      <c r="AI81" s="113">
        <f t="shared" si="28"/>
        <v>0.84858100624274468</v>
      </c>
      <c r="AJ81" s="113">
        <f t="shared" si="28"/>
        <v>0.85027446627283876</v>
      </c>
      <c r="AK81" s="113">
        <f t="shared" si="28"/>
        <v>0.87323187686220549</v>
      </c>
      <c r="AL81" s="113">
        <f t="shared" si="28"/>
        <v>0.89942883316807121</v>
      </c>
      <c r="AM81" s="113">
        <f t="shared" si="28"/>
        <v>0.90932255033291987</v>
      </c>
      <c r="AN81" s="113">
        <f t="shared" si="28"/>
        <v>0.91032190571843996</v>
      </c>
      <c r="AO81" s="113">
        <f t="shared" si="28"/>
        <v>0.90941158381272147</v>
      </c>
      <c r="AP81" s="113">
        <f t="shared" si="28"/>
        <v>0.90850217222890872</v>
      </c>
      <c r="AQ81" s="113">
        <f t="shared" si="28"/>
        <v>0.91397153701520117</v>
      </c>
      <c r="AR81" s="113">
        <f t="shared" si="28"/>
        <v>0.91947382847143455</v>
      </c>
      <c r="AS81" s="113">
        <f t="shared" si="28"/>
        <v>0.92199670502747988</v>
      </c>
      <c r="AT81" s="113">
        <f t="shared" si="28"/>
        <v>0.9192307149123975</v>
      </c>
      <c r="AU81" s="113">
        <f t="shared" si="28"/>
        <v>0.92120095652408207</v>
      </c>
      <c r="AV81" s="113">
        <f t="shared" si="28"/>
        <v>0.96684197986595022</v>
      </c>
      <c r="AW81" s="113">
        <f t="shared" si="28"/>
        <v>0.99908963585434185</v>
      </c>
      <c r="AX81" s="112"/>
      <c r="AY81" s="77"/>
    </row>
    <row r="82" spans="17:52" x14ac:dyDescent="0.25">
      <c r="R82" s="200"/>
      <c r="S82" s="3">
        <v>10</v>
      </c>
      <c r="T82" s="113">
        <f t="shared" si="20"/>
        <v>0.77374341986971951</v>
      </c>
      <c r="U82" s="113">
        <f t="shared" ref="U82:AW82" si="29">U66/U$68</f>
        <v>0.78100907404401321</v>
      </c>
      <c r="V82" s="113">
        <f t="shared" si="29"/>
        <v>0.78636877816753459</v>
      </c>
      <c r="W82" s="113">
        <f t="shared" si="29"/>
        <v>0.79973704739638263</v>
      </c>
      <c r="X82" s="113">
        <f t="shared" si="29"/>
        <v>0.80603799584909608</v>
      </c>
      <c r="Y82" s="113">
        <f t="shared" si="29"/>
        <v>0.81168920957510649</v>
      </c>
      <c r="Z82" s="113">
        <f t="shared" si="29"/>
        <v>0.81456823653196764</v>
      </c>
      <c r="AA82" s="113">
        <f t="shared" si="29"/>
        <v>0.8175660765759899</v>
      </c>
      <c r="AB82" s="113">
        <f t="shared" si="29"/>
        <v>0.82024739515802336</v>
      </c>
      <c r="AC82" s="113">
        <f t="shared" si="29"/>
        <v>0.82304723491737086</v>
      </c>
      <c r="AD82" s="113">
        <f t="shared" si="29"/>
        <v>0.82530425894855031</v>
      </c>
      <c r="AE82" s="113">
        <f t="shared" si="29"/>
        <v>0.82723288501437331</v>
      </c>
      <c r="AF82" s="113">
        <f t="shared" si="29"/>
        <v>0.82950138726023426</v>
      </c>
      <c r="AG82" s="113">
        <f t="shared" si="29"/>
        <v>0.84360291084365835</v>
      </c>
      <c r="AH82" s="113">
        <f t="shared" si="29"/>
        <v>0.8467120124806744</v>
      </c>
      <c r="AI82" s="113">
        <f t="shared" si="29"/>
        <v>0.84740958740366645</v>
      </c>
      <c r="AJ82" s="113">
        <f t="shared" si="29"/>
        <v>0.84927496548782933</v>
      </c>
      <c r="AK82" s="113">
        <f t="shared" si="29"/>
        <v>0.8722053895560008</v>
      </c>
      <c r="AL82" s="113">
        <f t="shared" si="29"/>
        <v>0.89837155124268031</v>
      </c>
      <c r="AM82" s="113">
        <f t="shared" si="29"/>
        <v>0.90825363830634975</v>
      </c>
      <c r="AN82" s="113">
        <f t="shared" si="29"/>
        <v>0.90925181894591189</v>
      </c>
      <c r="AO82" s="113">
        <f t="shared" si="29"/>
        <v>0.90834256712696582</v>
      </c>
      <c r="AP82" s="113">
        <f t="shared" si="29"/>
        <v>0.90743422455983891</v>
      </c>
      <c r="AQ82" s="113">
        <f t="shared" si="29"/>
        <v>0.91289716008756361</v>
      </c>
      <c r="AR82" s="113">
        <f t="shared" si="29"/>
        <v>0.91889588694596436</v>
      </c>
      <c r="AS82" s="113">
        <f t="shared" si="29"/>
        <v>0.92164707223622144</v>
      </c>
      <c r="AT82" s="113">
        <f t="shared" si="29"/>
        <v>0.91888213101951288</v>
      </c>
      <c r="AU82" s="113">
        <f t="shared" si="29"/>
        <v>0.92109674045436374</v>
      </c>
      <c r="AV82" s="113">
        <f t="shared" si="29"/>
        <v>0.96673260039726139</v>
      </c>
      <c r="AW82" s="113">
        <f t="shared" si="29"/>
        <v>0.99897660818713441</v>
      </c>
      <c r="AX82" s="112"/>
      <c r="AY82" s="77"/>
    </row>
    <row r="83" spans="17:52" x14ac:dyDescent="0.25">
      <c r="R83" s="200"/>
      <c r="S83" s="3" t="s">
        <v>0</v>
      </c>
      <c r="T83" s="113">
        <f>T67/T$68</f>
        <v>0.76079364188256571</v>
      </c>
      <c r="U83" s="113">
        <f t="shared" ref="U83:AW83" si="30">U67/U$68</f>
        <v>0.76819656623322763</v>
      </c>
      <c r="V83" s="113">
        <f t="shared" si="30"/>
        <v>0.7736588766021979</v>
      </c>
      <c r="W83" s="113">
        <f t="shared" si="30"/>
        <v>0.78681107750443524</v>
      </c>
      <c r="X83" s="113">
        <f t="shared" si="30"/>
        <v>0.79376178411809872</v>
      </c>
      <c r="Y83" s="113">
        <f t="shared" si="30"/>
        <v>0.80000101210905039</v>
      </c>
      <c r="Z83" s="113">
        <f t="shared" si="30"/>
        <v>0.80305355486144769</v>
      </c>
      <c r="AA83" s="113">
        <f t="shared" si="30"/>
        <v>0.80623295453610355</v>
      </c>
      <c r="AB83" s="113">
        <f t="shared" si="30"/>
        <v>0.80907736715500767</v>
      </c>
      <c r="AC83" s="113">
        <f t="shared" si="30"/>
        <v>0.81204827547993508</v>
      </c>
      <c r="AD83" s="113">
        <f t="shared" si="30"/>
        <v>0.814443698121468</v>
      </c>
      <c r="AE83" s="113">
        <f t="shared" si="30"/>
        <v>0.81649094680815548</v>
      </c>
      <c r="AF83" s="113">
        <f t="shared" si="30"/>
        <v>0.81889947467484581</v>
      </c>
      <c r="AG83" s="113">
        <f t="shared" si="30"/>
        <v>0.83282076574431829</v>
      </c>
      <c r="AH83" s="113">
        <f t="shared" si="30"/>
        <v>0.83621625441117808</v>
      </c>
      <c r="AI83" s="113">
        <f t="shared" si="30"/>
        <v>0.83697815110616047</v>
      </c>
      <c r="AJ83" s="113">
        <f t="shared" si="30"/>
        <v>0.83895994625479364</v>
      </c>
      <c r="AK83" s="113">
        <f t="shared" si="30"/>
        <v>0.86161186480367324</v>
      </c>
      <c r="AL83" s="113">
        <f t="shared" si="30"/>
        <v>0.88746022074778286</v>
      </c>
      <c r="AM83" s="113">
        <f t="shared" si="30"/>
        <v>0.89722228317600838</v>
      </c>
      <c r="AN83" s="113">
        <f t="shared" si="30"/>
        <v>0.89820834023614837</v>
      </c>
      <c r="AO83" s="113">
        <f t="shared" si="30"/>
        <v>0.89731013189591224</v>
      </c>
      <c r="AP83" s="113">
        <f t="shared" si="30"/>
        <v>0.89641282176401638</v>
      </c>
      <c r="AQ83" s="113">
        <f t="shared" si="30"/>
        <v>0.90180940624251993</v>
      </c>
      <c r="AR83" s="113">
        <f t="shared" si="30"/>
        <v>0.90773527450337255</v>
      </c>
      <c r="AS83" s="113">
        <f t="shared" si="30"/>
        <v>0.91045304478631672</v>
      </c>
      <c r="AT83" s="113">
        <f t="shared" si="30"/>
        <v>0.90772168565195788</v>
      </c>
      <c r="AU83" s="113">
        <f t="shared" si="30"/>
        <v>0.91010550796709178</v>
      </c>
      <c r="AV83" s="113">
        <f t="shared" si="30"/>
        <v>0.95896761356872517</v>
      </c>
      <c r="AW83" s="113">
        <f t="shared" si="30"/>
        <v>0.99888510959939536</v>
      </c>
      <c r="AX83" s="112"/>
      <c r="AY83" s="47"/>
    </row>
    <row r="86" spans="17:52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7:52" x14ac:dyDescent="0.25">
      <c r="Q87" s="1"/>
      <c r="R87" s="1"/>
      <c r="S87" s="1"/>
      <c r="T87" s="111">
        <v>1995</v>
      </c>
      <c r="U87" s="111">
        <v>1996</v>
      </c>
      <c r="V87" s="111">
        <v>1997</v>
      </c>
      <c r="W87" s="111">
        <v>1998</v>
      </c>
      <c r="X87" s="111">
        <v>1999</v>
      </c>
      <c r="Y87" s="111">
        <v>2000</v>
      </c>
      <c r="Z87" s="111">
        <v>2001</v>
      </c>
      <c r="AA87" s="111">
        <v>2002</v>
      </c>
      <c r="AB87" s="111">
        <v>2003</v>
      </c>
      <c r="AC87" s="111">
        <v>2004</v>
      </c>
      <c r="AD87" s="111">
        <v>2005</v>
      </c>
      <c r="AE87" s="111">
        <v>2006</v>
      </c>
      <c r="AF87" s="111">
        <v>2007</v>
      </c>
      <c r="AG87" s="111">
        <v>2008</v>
      </c>
      <c r="AH87" s="111">
        <v>2009</v>
      </c>
      <c r="AI87" s="111">
        <v>2010</v>
      </c>
      <c r="AJ87" s="111">
        <v>2011</v>
      </c>
      <c r="AK87" s="111">
        <v>2012</v>
      </c>
      <c r="AL87" s="111">
        <v>2013</v>
      </c>
      <c r="AM87" s="111">
        <v>2014</v>
      </c>
      <c r="AN87" s="111">
        <v>2015</v>
      </c>
      <c r="AO87" s="111">
        <v>2016</v>
      </c>
      <c r="AP87" s="111">
        <v>2017</v>
      </c>
      <c r="AQ87" s="111">
        <v>2018</v>
      </c>
      <c r="AR87" s="111">
        <v>2019</v>
      </c>
      <c r="AS87" s="111">
        <v>2020</v>
      </c>
      <c r="AT87" s="111">
        <v>2021</v>
      </c>
      <c r="AU87" s="111">
        <v>2022</v>
      </c>
      <c r="AV87" s="111">
        <v>2023</v>
      </c>
      <c r="AW87" s="111">
        <v>2024</v>
      </c>
      <c r="AX87" s="111">
        <v>2025</v>
      </c>
      <c r="AY87" s="111">
        <v>2026</v>
      </c>
      <c r="AZ87" s="1"/>
    </row>
    <row r="88" spans="17:52" x14ac:dyDescent="0.25">
      <c r="Q88" s="1"/>
      <c r="R88" s="200" t="s">
        <v>1</v>
      </c>
      <c r="S88" s="3" t="s">
        <v>107</v>
      </c>
      <c r="T88" s="115">
        <v>1.0050180581795447</v>
      </c>
      <c r="U88" s="115">
        <v>1.0050180581795447</v>
      </c>
      <c r="V88" s="115">
        <v>1.0050180581795445</v>
      </c>
      <c r="W88" s="115">
        <v>1.0050180581795445</v>
      </c>
      <c r="X88" s="115">
        <v>1.0050180581795445</v>
      </c>
      <c r="Y88" s="115">
        <v>1.0050180581795449</v>
      </c>
      <c r="Z88" s="115">
        <v>1.0050180581795445</v>
      </c>
      <c r="AA88" s="115">
        <v>1.0050180581795447</v>
      </c>
      <c r="AB88" s="115">
        <v>1.0050180581795443</v>
      </c>
      <c r="AC88" s="115">
        <v>1.0050180581795447</v>
      </c>
      <c r="AD88" s="115">
        <v>1.0050180581795445</v>
      </c>
      <c r="AE88" s="115">
        <v>1.0050180581795445</v>
      </c>
      <c r="AF88" s="115">
        <v>1.0050180581795445</v>
      </c>
      <c r="AG88" s="115">
        <v>1.0050180581795447</v>
      </c>
      <c r="AH88" s="115">
        <v>1.0050180581795443</v>
      </c>
      <c r="AI88" s="115">
        <v>1.0050180581795445</v>
      </c>
      <c r="AJ88" s="115">
        <v>1.0050180581795447</v>
      </c>
      <c r="AK88" s="115">
        <v>1.0050180581795447</v>
      </c>
      <c r="AL88" s="115">
        <v>1.0050180581795445</v>
      </c>
      <c r="AM88" s="115">
        <v>1.0050180581795443</v>
      </c>
      <c r="AN88" s="115">
        <v>1.0050180581795445</v>
      </c>
      <c r="AO88" s="115">
        <v>1.0040130401213649</v>
      </c>
      <c r="AP88" s="115">
        <v>1.0030090270812435</v>
      </c>
      <c r="AQ88" s="115">
        <v>1.0030090270812437</v>
      </c>
      <c r="AR88" s="115">
        <v>1.0030090270812437</v>
      </c>
      <c r="AS88" s="115">
        <v>1.0030090270812437</v>
      </c>
      <c r="AT88" s="115">
        <v>1</v>
      </c>
      <c r="AU88" s="115">
        <v>1</v>
      </c>
      <c r="AV88" s="115">
        <v>1</v>
      </c>
      <c r="AW88" s="115">
        <v>1</v>
      </c>
      <c r="AX88" s="112"/>
      <c r="AY88" s="77"/>
      <c r="AZ88" s="1"/>
    </row>
    <row r="89" spans="17:52" x14ac:dyDescent="0.25">
      <c r="Q89" s="1"/>
      <c r="R89" s="200"/>
      <c r="S89" s="3">
        <v>2</v>
      </c>
      <c r="T89" s="115">
        <v>1.0050180581795447</v>
      </c>
      <c r="U89" s="115">
        <v>1.0050180581795447</v>
      </c>
      <c r="V89" s="115">
        <v>1.0050180581795445</v>
      </c>
      <c r="W89" s="115">
        <v>1.0050180581795445</v>
      </c>
      <c r="X89" s="115">
        <v>1.0050180581795445</v>
      </c>
      <c r="Y89" s="115">
        <v>1.0050180581795449</v>
      </c>
      <c r="Z89" s="115">
        <v>1.0050180581795445</v>
      </c>
      <c r="AA89" s="115">
        <v>1.0050180581795447</v>
      </c>
      <c r="AB89" s="115">
        <v>1.0050180581795443</v>
      </c>
      <c r="AC89" s="115">
        <v>1.0050180581795447</v>
      </c>
      <c r="AD89" s="115">
        <v>1.0050180581795445</v>
      </c>
      <c r="AE89" s="115">
        <v>1.0050180581795445</v>
      </c>
      <c r="AF89" s="115">
        <v>1.0050180581795445</v>
      </c>
      <c r="AG89" s="115">
        <v>1.0050180581795447</v>
      </c>
      <c r="AH89" s="115">
        <v>1.0050180581795443</v>
      </c>
      <c r="AI89" s="115">
        <v>1.0050180581795445</v>
      </c>
      <c r="AJ89" s="115">
        <v>1.0050180581795447</v>
      </c>
      <c r="AK89" s="115">
        <v>1.0050180581795447</v>
      </c>
      <c r="AL89" s="115">
        <v>1.0050180581795445</v>
      </c>
      <c r="AM89" s="115">
        <v>1.0050180581795443</v>
      </c>
      <c r="AN89" s="115">
        <v>1.0050180581795445</v>
      </c>
      <c r="AO89" s="115">
        <v>1.0040130401213649</v>
      </c>
      <c r="AP89" s="115">
        <v>1.0030090270812435</v>
      </c>
      <c r="AQ89" s="115">
        <v>1.0030090270812437</v>
      </c>
      <c r="AR89" s="115">
        <v>1.0030090270812437</v>
      </c>
      <c r="AS89" s="115">
        <v>1.0030090270812437</v>
      </c>
      <c r="AT89" s="115">
        <v>1</v>
      </c>
      <c r="AU89" s="115">
        <v>1</v>
      </c>
      <c r="AV89" s="115">
        <v>1</v>
      </c>
      <c r="AW89" s="115">
        <v>1</v>
      </c>
      <c r="AX89" s="112"/>
      <c r="AY89" s="77"/>
      <c r="AZ89" s="1"/>
    </row>
    <row r="90" spans="17:52" x14ac:dyDescent="0.25">
      <c r="Q90" s="1"/>
      <c r="R90" s="200"/>
      <c r="S90" s="3">
        <v>3</v>
      </c>
      <c r="T90" s="115">
        <v>1.0022287126648628</v>
      </c>
      <c r="U90" s="115">
        <v>1.0032567176506908</v>
      </c>
      <c r="V90" s="115">
        <v>1.0040104502312301</v>
      </c>
      <c r="W90" s="115">
        <v>1.0043462198622557</v>
      </c>
      <c r="X90" s="115">
        <v>1.0047015170588582</v>
      </c>
      <c r="Y90" s="115">
        <v>1.0050180581795449</v>
      </c>
      <c r="Z90" s="115">
        <v>1.0050180581795445</v>
      </c>
      <c r="AA90" s="115">
        <v>1.0050180581795447</v>
      </c>
      <c r="AB90" s="115">
        <v>1.0050180581795443</v>
      </c>
      <c r="AC90" s="115">
        <v>1.0050180581795447</v>
      </c>
      <c r="AD90" s="115">
        <v>1.0050180581795445</v>
      </c>
      <c r="AE90" s="115">
        <v>1.0050180581795445</v>
      </c>
      <c r="AF90" s="115">
        <v>1.0050180581795445</v>
      </c>
      <c r="AG90" s="115">
        <v>1.0050180581795447</v>
      </c>
      <c r="AH90" s="115">
        <v>1.0050180581795443</v>
      </c>
      <c r="AI90" s="115">
        <v>1.0050180581795445</v>
      </c>
      <c r="AJ90" s="115">
        <v>1.0050180581795447</v>
      </c>
      <c r="AK90" s="115">
        <v>1.0050180581795447</v>
      </c>
      <c r="AL90" s="115">
        <v>1.0050180581795445</v>
      </c>
      <c r="AM90" s="115">
        <v>1.0050180581795443</v>
      </c>
      <c r="AN90" s="115">
        <v>1.0050180581795445</v>
      </c>
      <c r="AO90" s="115">
        <v>1.0040130401213649</v>
      </c>
      <c r="AP90" s="115">
        <v>1.0030090270812435</v>
      </c>
      <c r="AQ90" s="115">
        <v>1.0030090270812437</v>
      </c>
      <c r="AR90" s="115">
        <v>1.0030090270812437</v>
      </c>
      <c r="AS90" s="115">
        <v>1.0030090270812437</v>
      </c>
      <c r="AT90" s="115">
        <v>1</v>
      </c>
      <c r="AU90" s="115">
        <v>1</v>
      </c>
      <c r="AV90" s="115">
        <v>1</v>
      </c>
      <c r="AW90" s="115">
        <v>1</v>
      </c>
      <c r="AX90" s="112"/>
      <c r="AY90" s="77"/>
      <c r="AZ90" s="1"/>
    </row>
    <row r="91" spans="17:52" x14ac:dyDescent="0.25">
      <c r="Q91" s="1"/>
      <c r="R91" s="200"/>
      <c r="S91" s="3">
        <v>4</v>
      </c>
      <c r="T91" s="115">
        <v>0.95942155960403308</v>
      </c>
      <c r="U91" s="115">
        <v>0.96259192879211264</v>
      </c>
      <c r="V91" s="115">
        <v>0.96492031481231799</v>
      </c>
      <c r="W91" s="115">
        <v>0.96595832312414531</v>
      </c>
      <c r="X91" s="115">
        <v>0.96705756059830295</v>
      </c>
      <c r="Y91" s="115">
        <v>0.96803757614220431</v>
      </c>
      <c r="Z91" s="115">
        <v>0.96838814829279729</v>
      </c>
      <c r="AA91" s="115">
        <v>0.96875198615099845</v>
      </c>
      <c r="AB91" s="115">
        <v>0.96907645371362505</v>
      </c>
      <c r="AC91" s="115">
        <v>0.96941422870620642</v>
      </c>
      <c r="AD91" s="115">
        <v>0.96968584939231028</v>
      </c>
      <c r="AE91" s="115">
        <v>0.96991746333916717</v>
      </c>
      <c r="AF91" s="115">
        <v>0.97018922502684934</v>
      </c>
      <c r="AG91" s="115">
        <v>0.97018922502685001</v>
      </c>
      <c r="AH91" s="115">
        <v>0.97018922502685012</v>
      </c>
      <c r="AI91" s="115">
        <v>0.97018922502685001</v>
      </c>
      <c r="AJ91" s="115">
        <v>0.97040753943392188</v>
      </c>
      <c r="AK91" s="115">
        <v>0.98596017312884621</v>
      </c>
      <c r="AL91" s="115">
        <v>1.0034970141528765</v>
      </c>
      <c r="AM91" s="115">
        <v>1.0040432295596595</v>
      </c>
      <c r="AN91" s="115">
        <v>1.0041434434761749</v>
      </c>
      <c r="AO91" s="115">
        <v>1.0031393000326985</v>
      </c>
      <c r="AP91" s="115">
        <v>1.002136160732666</v>
      </c>
      <c r="AQ91" s="115">
        <v>1.0026816354106831</v>
      </c>
      <c r="AR91" s="115">
        <v>1.0030090270812437</v>
      </c>
      <c r="AS91" s="115">
        <v>1.0030090270812437</v>
      </c>
      <c r="AT91" s="115">
        <v>1</v>
      </c>
      <c r="AU91" s="115">
        <v>1</v>
      </c>
      <c r="AV91" s="115">
        <v>1</v>
      </c>
      <c r="AW91" s="115">
        <v>1</v>
      </c>
      <c r="AX91" s="112"/>
      <c r="AY91" s="77"/>
      <c r="AZ91" s="1"/>
    </row>
    <row r="92" spans="17:52" x14ac:dyDescent="0.25">
      <c r="Q92" s="1"/>
      <c r="R92" s="200"/>
      <c r="S92" s="3">
        <v>5</v>
      </c>
      <c r="T92" s="116">
        <v>0.90102115138685401</v>
      </c>
      <c r="U92" s="116">
        <v>0.90592034108723096</v>
      </c>
      <c r="V92" s="116">
        <v>0.90952400533680033</v>
      </c>
      <c r="W92" s="116">
        <v>0.92498591342752601</v>
      </c>
      <c r="X92" s="116">
        <v>0.92671553968036724</v>
      </c>
      <c r="Y92" s="116">
        <v>0.92825857668448009</v>
      </c>
      <c r="Z92" s="116">
        <v>0.92904334364142216</v>
      </c>
      <c r="AA92" s="116">
        <v>0.92985821452074913</v>
      </c>
      <c r="AB92" s="116">
        <v>0.93058523423499451</v>
      </c>
      <c r="AC92" s="116">
        <v>0.93134242319694405</v>
      </c>
      <c r="AD92" s="116">
        <v>0.93195154185174844</v>
      </c>
      <c r="AE92" s="116">
        <v>0.9324711094971585</v>
      </c>
      <c r="AF92" s="116">
        <v>0.93308096633790183</v>
      </c>
      <c r="AG92" s="116">
        <v>0.93308096633790194</v>
      </c>
      <c r="AH92" s="116">
        <v>0.93308096633790227</v>
      </c>
      <c r="AI92" s="116">
        <v>0.93308096633790216</v>
      </c>
      <c r="AJ92" s="116">
        <v>0.93357102987064255</v>
      </c>
      <c r="AK92" s="116">
        <v>0.95362785724801058</v>
      </c>
      <c r="AL92" s="116">
        <v>0.97637842243086537</v>
      </c>
      <c r="AM92" s="116">
        <v>0.97904149276231567</v>
      </c>
      <c r="AN92" s="116">
        <v>0.97953028032734935</v>
      </c>
      <c r="AO92" s="116">
        <v>0.97855075004702197</v>
      </c>
      <c r="AP92" s="116">
        <v>0.97757219929697503</v>
      </c>
      <c r="AQ92" s="116">
        <v>0.98023852565260761</v>
      </c>
      <c r="AR92" s="116">
        <v>0.98269769991649336</v>
      </c>
      <c r="AS92" s="116">
        <v>0.98382346806402921</v>
      </c>
      <c r="AT92" s="116">
        <v>0.98087199765983724</v>
      </c>
      <c r="AU92" s="116">
        <v>0.98107525171918342</v>
      </c>
      <c r="AV92" s="116">
        <v>0.99222748478124834</v>
      </c>
      <c r="AW92" s="116">
        <v>0.99991181657848338</v>
      </c>
      <c r="AX92" s="112"/>
      <c r="AY92" s="77"/>
      <c r="AZ92" s="1"/>
    </row>
    <row r="93" spans="17:52" x14ac:dyDescent="0.25">
      <c r="Q93" s="1"/>
      <c r="R93" s="200"/>
      <c r="S93" s="3">
        <v>6</v>
      </c>
      <c r="T93" s="116">
        <v>0.84190147692145745</v>
      </c>
      <c r="U93" s="116">
        <v>0.84762591274758659</v>
      </c>
      <c r="V93" s="116">
        <v>0.85184076929704333</v>
      </c>
      <c r="W93" s="116">
        <v>0.86632206237509313</v>
      </c>
      <c r="X93" s="116">
        <v>0.86897601663199719</v>
      </c>
      <c r="Y93" s="116">
        <v>0.87134617803251513</v>
      </c>
      <c r="Z93" s="116">
        <v>0.8726529150752913</v>
      </c>
      <c r="AA93" s="116">
        <v>0.87401069924558084</v>
      </c>
      <c r="AB93" s="116">
        <v>0.87522283314091087</v>
      </c>
      <c r="AC93" s="116">
        <v>0.87648606138903318</v>
      </c>
      <c r="AD93" s="116">
        <v>0.87750277583518721</v>
      </c>
      <c r="AE93" s="116">
        <v>0.87837038938687462</v>
      </c>
      <c r="AF93" s="116">
        <v>0.87938928963332985</v>
      </c>
      <c r="AG93" s="116">
        <v>0.87972350120749043</v>
      </c>
      <c r="AH93" s="116">
        <v>0.88034389859903328</v>
      </c>
      <c r="AI93" s="116">
        <v>0.88048300171838001</v>
      </c>
      <c r="AJ93" s="116">
        <v>0.8813031119872301</v>
      </c>
      <c r="AK93" s="116">
        <v>0.90266111101115543</v>
      </c>
      <c r="AL93" s="116">
        <v>0.92696006414904264</v>
      </c>
      <c r="AM93" s="116">
        <v>0.93203045733931567</v>
      </c>
      <c r="AN93" s="116">
        <v>0.93296155669729752</v>
      </c>
      <c r="AO93" s="116">
        <v>0.9320285951406001</v>
      </c>
      <c r="AP93" s="116">
        <v>0.93109656654545958</v>
      </c>
      <c r="AQ93" s="116">
        <v>0.93618958605416136</v>
      </c>
      <c r="AR93" s="116">
        <v>0.94110455345499455</v>
      </c>
      <c r="AS93" s="116">
        <v>0.94335734711975805</v>
      </c>
      <c r="AT93" s="116">
        <v>0.94052727507839884</v>
      </c>
      <c r="AU93" s="116">
        <v>0.9412452380354156</v>
      </c>
      <c r="AV93" s="116">
        <v>0.97560344636388285</v>
      </c>
      <c r="AW93" s="116">
        <v>0.99967532467532472</v>
      </c>
      <c r="AX93" s="112"/>
      <c r="AY93" s="77"/>
      <c r="AZ93" s="1"/>
    </row>
    <row r="94" spans="17:52" x14ac:dyDescent="0.25">
      <c r="Q94" s="1"/>
      <c r="R94" s="200"/>
      <c r="S94" s="3">
        <v>7</v>
      </c>
      <c r="T94" s="116">
        <v>0.81848699377704048</v>
      </c>
      <c r="U94" s="116">
        <v>0.82482578778181548</v>
      </c>
      <c r="V94" s="116">
        <v>0.8294961946525734</v>
      </c>
      <c r="W94" s="116">
        <v>0.84359762996166721</v>
      </c>
      <c r="X94" s="116">
        <v>0.84740113816834661</v>
      </c>
      <c r="Y94" s="116">
        <v>0.8508022860106671</v>
      </c>
      <c r="Z94" s="116">
        <v>0.85271382772974935</v>
      </c>
      <c r="AA94" s="116">
        <v>0.85470158026268006</v>
      </c>
      <c r="AB94" s="116">
        <v>0.85647732953364764</v>
      </c>
      <c r="AC94" s="116">
        <v>0.85832925945555083</v>
      </c>
      <c r="AD94" s="116">
        <v>0.85982065274462449</v>
      </c>
      <c r="AE94" s="116">
        <v>0.86109395937087829</v>
      </c>
      <c r="AF94" s="116">
        <v>0.86259015647486881</v>
      </c>
      <c r="AG94" s="116">
        <v>0.86342281973419954</v>
      </c>
      <c r="AH94" s="116">
        <v>0.86497017245773788</v>
      </c>
      <c r="AI94" s="116">
        <v>0.86531719829923759</v>
      </c>
      <c r="AJ94" s="116">
        <v>0.86652434911872434</v>
      </c>
      <c r="AK94" s="116">
        <v>0.88992050654493005</v>
      </c>
      <c r="AL94" s="116">
        <v>0.91661812174127744</v>
      </c>
      <c r="AM94" s="116">
        <v>0.92264129936323336</v>
      </c>
      <c r="AN94" s="116">
        <v>0.92365529219898113</v>
      </c>
      <c r="AO94" s="116">
        <v>0.92273163690678206</v>
      </c>
      <c r="AP94" s="116">
        <v>0.92180890526987536</v>
      </c>
      <c r="AQ94" s="116">
        <v>0.92735837925055353</v>
      </c>
      <c r="AR94" s="116">
        <v>0.93273707076644685</v>
      </c>
      <c r="AS94" s="116">
        <v>0.93520302900212393</v>
      </c>
      <c r="AT94" s="116">
        <v>0.93239741991511771</v>
      </c>
      <c r="AU94" s="116">
        <v>0.93366961260081571</v>
      </c>
      <c r="AV94" s="116">
        <v>0.97228207271328704</v>
      </c>
      <c r="AW94" s="116">
        <v>0.99942002442002442</v>
      </c>
      <c r="AX94" s="112"/>
      <c r="AY94" s="77"/>
      <c r="AZ94" s="1"/>
    </row>
    <row r="95" spans="17:52" x14ac:dyDescent="0.25">
      <c r="Q95" s="1"/>
      <c r="R95" s="200"/>
      <c r="S95" s="3">
        <v>8</v>
      </c>
      <c r="T95" s="115">
        <v>0.80766763979644662</v>
      </c>
      <c r="U95" s="115">
        <v>0.81448333525847727</v>
      </c>
      <c r="V95" s="115">
        <v>0.81950765069149412</v>
      </c>
      <c r="W95" s="115">
        <v>0.83343928075324958</v>
      </c>
      <c r="X95" s="115">
        <v>0.8380824882520127</v>
      </c>
      <c r="Y95" s="115">
        <v>0.84223841534083399</v>
      </c>
      <c r="Z95" s="115">
        <v>0.84459273817825087</v>
      </c>
      <c r="AA95" s="115">
        <v>0.84704231527305263</v>
      </c>
      <c r="AB95" s="115">
        <v>0.8492317408549438</v>
      </c>
      <c r="AC95" s="115">
        <v>0.85151629677311602</v>
      </c>
      <c r="AD95" s="115">
        <v>0.85335687041518704</v>
      </c>
      <c r="AE95" s="115">
        <v>0.85492886350737896</v>
      </c>
      <c r="AF95" s="115">
        <v>0.85677681349727464</v>
      </c>
      <c r="AG95" s="115">
        <v>0.85797195634042345</v>
      </c>
      <c r="AH95" s="115">
        <v>0.86019468161591706</v>
      </c>
      <c r="AI95" s="115">
        <v>0.860693262618758</v>
      </c>
      <c r="AJ95" s="115">
        <v>0.86218681458102397</v>
      </c>
      <c r="AK95" s="115">
        <v>0.88546585857471183</v>
      </c>
      <c r="AL95" s="115">
        <v>0.91202983433195262</v>
      </c>
      <c r="AM95" s="115">
        <v>0.92206216250960404</v>
      </c>
      <c r="AN95" s="115">
        <v>0.92307551886764294</v>
      </c>
      <c r="AO95" s="115">
        <v>0.92215244334877522</v>
      </c>
      <c r="AP95" s="115">
        <v>0.92123029090542652</v>
      </c>
      <c r="AQ95" s="115">
        <v>0.92677628151190194</v>
      </c>
      <c r="AR95" s="115">
        <v>0.93215159685280391</v>
      </c>
      <c r="AS95" s="115">
        <v>0.93461600722010074</v>
      </c>
      <c r="AT95" s="115">
        <v>0.93181215919844051</v>
      </c>
      <c r="AU95" s="115">
        <v>0.93349470936153534</v>
      </c>
      <c r="AV95" s="115">
        <v>0.97209993624690016</v>
      </c>
      <c r="AW95" s="115">
        <v>0.99923280423280425</v>
      </c>
      <c r="AX95" s="112"/>
      <c r="AY95" s="77"/>
      <c r="AZ95" s="1"/>
    </row>
    <row r="96" spans="17:52" x14ac:dyDescent="0.25">
      <c r="Q96" s="1"/>
      <c r="R96" s="200"/>
      <c r="S96" s="3">
        <v>9</v>
      </c>
      <c r="T96" s="115">
        <v>0.77912181925201729</v>
      </c>
      <c r="U96" s="115">
        <v>0.78611073768674744</v>
      </c>
      <c r="V96" s="115">
        <v>0.79126473233403438</v>
      </c>
      <c r="W96" s="115">
        <v>0.80471623278371307</v>
      </c>
      <c r="X96" s="115">
        <v>0.81010884453050125</v>
      </c>
      <c r="Y96" s="115">
        <v>0.81494035753487626</v>
      </c>
      <c r="Z96" s="115">
        <v>0.81756056367577068</v>
      </c>
      <c r="AA96" s="115">
        <v>0.82028796595676001</v>
      </c>
      <c r="AB96" s="115">
        <v>0.82272665480026208</v>
      </c>
      <c r="AC96" s="115">
        <v>0.82527232984929577</v>
      </c>
      <c r="AD96" s="115">
        <v>0.8273239405438384</v>
      </c>
      <c r="AE96" s="115">
        <v>0.82907665914478401</v>
      </c>
      <c r="AF96" s="115">
        <v>0.83113772732673552</v>
      </c>
      <c r="AG96" s="115">
        <v>0.8452670686912902</v>
      </c>
      <c r="AH96" s="115">
        <v>0.84797377934126261</v>
      </c>
      <c r="AI96" s="115">
        <v>0.84858100624274468</v>
      </c>
      <c r="AJ96" s="115">
        <v>0.85027446627283876</v>
      </c>
      <c r="AK96" s="115">
        <v>0.87323187686220549</v>
      </c>
      <c r="AL96" s="115">
        <v>0.89942883316807121</v>
      </c>
      <c r="AM96" s="115">
        <v>0.90932255033291987</v>
      </c>
      <c r="AN96" s="115">
        <v>0.91032190571843996</v>
      </c>
      <c r="AO96" s="115">
        <v>0.90941158381272147</v>
      </c>
      <c r="AP96" s="115">
        <v>0.90850217222890872</v>
      </c>
      <c r="AQ96" s="115">
        <v>0.91397153701520117</v>
      </c>
      <c r="AR96" s="115">
        <v>0.91947382847143455</v>
      </c>
      <c r="AS96" s="115">
        <v>0.92199670502747988</v>
      </c>
      <c r="AT96" s="115">
        <v>0.9192307149123975</v>
      </c>
      <c r="AU96" s="115">
        <v>0.92120095652408207</v>
      </c>
      <c r="AV96" s="115">
        <v>0.96684197986595022</v>
      </c>
      <c r="AW96" s="115">
        <v>0.99908963585434185</v>
      </c>
      <c r="AX96" s="112"/>
      <c r="AY96" s="77"/>
      <c r="AZ96" s="1"/>
    </row>
    <row r="97" spans="17:52" x14ac:dyDescent="0.25">
      <c r="Q97" s="1"/>
      <c r="R97" s="200"/>
      <c r="S97" s="3">
        <v>10</v>
      </c>
      <c r="T97" s="115">
        <v>0.77374341986971951</v>
      </c>
      <c r="U97" s="115">
        <v>0.78100907404401321</v>
      </c>
      <c r="V97" s="115">
        <v>0.78636877816753459</v>
      </c>
      <c r="W97" s="115">
        <v>0.79973704739638263</v>
      </c>
      <c r="X97" s="115">
        <v>0.80603799584909608</v>
      </c>
      <c r="Y97" s="115">
        <v>0.81168920957510649</v>
      </c>
      <c r="Z97" s="115">
        <v>0.81456823653196764</v>
      </c>
      <c r="AA97" s="115">
        <v>0.8175660765759899</v>
      </c>
      <c r="AB97" s="115">
        <v>0.82024739515802336</v>
      </c>
      <c r="AC97" s="115">
        <v>0.82304723491737086</v>
      </c>
      <c r="AD97" s="115">
        <v>0.82530425894855031</v>
      </c>
      <c r="AE97" s="115">
        <v>0.82723288501437331</v>
      </c>
      <c r="AF97" s="115">
        <v>0.82950138726023426</v>
      </c>
      <c r="AG97" s="115">
        <v>0.84360291084365835</v>
      </c>
      <c r="AH97" s="115">
        <v>0.8467120124806744</v>
      </c>
      <c r="AI97" s="115">
        <v>0.84740958740366645</v>
      </c>
      <c r="AJ97" s="115">
        <v>0.84927496548782933</v>
      </c>
      <c r="AK97" s="115">
        <v>0.8722053895560008</v>
      </c>
      <c r="AL97" s="115">
        <v>0.89837155124268031</v>
      </c>
      <c r="AM97" s="115">
        <v>0.90825363830634975</v>
      </c>
      <c r="AN97" s="115">
        <v>0.90925181894591189</v>
      </c>
      <c r="AO97" s="115">
        <v>0.90834256712696582</v>
      </c>
      <c r="AP97" s="115">
        <v>0.90743422455983891</v>
      </c>
      <c r="AQ97" s="115">
        <v>0.91289716008756361</v>
      </c>
      <c r="AR97" s="115">
        <v>0.91889588694596436</v>
      </c>
      <c r="AS97" s="115">
        <v>0.92164707223622144</v>
      </c>
      <c r="AT97" s="115">
        <v>0.91888213101951288</v>
      </c>
      <c r="AU97" s="115">
        <v>0.92109674045436374</v>
      </c>
      <c r="AV97" s="115">
        <v>0.96673260039726139</v>
      </c>
      <c r="AW97" s="115">
        <v>0.99897660818713441</v>
      </c>
      <c r="AX97" s="112"/>
      <c r="AY97" s="77"/>
      <c r="AZ97" s="1"/>
    </row>
    <row r="98" spans="17:52" x14ac:dyDescent="0.25">
      <c r="Q98" s="1"/>
      <c r="R98" s="200"/>
      <c r="S98" s="3" t="s">
        <v>0</v>
      </c>
      <c r="T98" s="115">
        <v>0.76079364188256571</v>
      </c>
      <c r="U98" s="115">
        <v>0.76819656623322763</v>
      </c>
      <c r="V98" s="115">
        <v>0.7736588766021979</v>
      </c>
      <c r="W98" s="115">
        <v>0.78681107750443524</v>
      </c>
      <c r="X98" s="115">
        <v>0.79376178411809872</v>
      </c>
      <c r="Y98" s="115">
        <v>0.80000101210905039</v>
      </c>
      <c r="Z98" s="115">
        <v>0.80305355486144769</v>
      </c>
      <c r="AA98" s="115">
        <v>0.80623295453610355</v>
      </c>
      <c r="AB98" s="115">
        <v>0.80907736715500767</v>
      </c>
      <c r="AC98" s="115">
        <v>0.81204827547993508</v>
      </c>
      <c r="AD98" s="115">
        <v>0.814443698121468</v>
      </c>
      <c r="AE98" s="115">
        <v>0.81649094680815548</v>
      </c>
      <c r="AF98" s="115">
        <v>0.81889947467484581</v>
      </c>
      <c r="AG98" s="115">
        <v>0.83282076574431829</v>
      </c>
      <c r="AH98" s="115">
        <v>0.83621625441117808</v>
      </c>
      <c r="AI98" s="115">
        <v>0.83697815110616047</v>
      </c>
      <c r="AJ98" s="115">
        <v>0.83895994625479364</v>
      </c>
      <c r="AK98" s="115">
        <v>0.86161186480367324</v>
      </c>
      <c r="AL98" s="115">
        <v>0.88746022074778286</v>
      </c>
      <c r="AM98" s="115">
        <v>0.89722228317600838</v>
      </c>
      <c r="AN98" s="115">
        <v>0.89820834023614837</v>
      </c>
      <c r="AO98" s="115">
        <v>0.89731013189591224</v>
      </c>
      <c r="AP98" s="115">
        <v>0.89641282176401638</v>
      </c>
      <c r="AQ98" s="115">
        <v>0.90180940624251993</v>
      </c>
      <c r="AR98" s="115">
        <v>0.90773527450337255</v>
      </c>
      <c r="AS98" s="115">
        <v>0.91045304478631672</v>
      </c>
      <c r="AT98" s="115">
        <v>0.90772168565195788</v>
      </c>
      <c r="AU98" s="115">
        <v>0.91010550796709178</v>
      </c>
      <c r="AV98" s="115">
        <v>0.95896761356872517</v>
      </c>
      <c r="AW98" s="115">
        <v>0.99888510959939536</v>
      </c>
      <c r="AX98" s="112"/>
      <c r="AY98" s="47"/>
      <c r="AZ98" s="1"/>
    </row>
    <row r="99" spans="17:52" x14ac:dyDescent="0.25">
      <c r="Q99" s="1"/>
      <c r="R99" s="1"/>
      <c r="S99" s="4" t="s">
        <v>166</v>
      </c>
      <c r="T99" s="124">
        <v>1294.1376977384352</v>
      </c>
      <c r="U99" s="124">
        <v>1364.0659618751517</v>
      </c>
      <c r="V99" s="124">
        <v>1417.2610224813689</v>
      </c>
      <c r="W99" s="124">
        <v>1441.3279139789388</v>
      </c>
      <c r="X99" s="124">
        <v>1467.2540503132311</v>
      </c>
      <c r="Y99" s="124">
        <v>1490.7011935318938</v>
      </c>
      <c r="Z99" s="124">
        <v>1529.4354609636052</v>
      </c>
      <c r="AA99" s="124">
        <v>1570.76</v>
      </c>
      <c r="AB99" s="124">
        <v>1608.48</v>
      </c>
      <c r="AC99" s="124">
        <v>1648.72</v>
      </c>
      <c r="AD99" s="124">
        <v>1681.72</v>
      </c>
      <c r="AE99" s="124">
        <v>1710.32</v>
      </c>
      <c r="AF99" s="124">
        <v>1744.56</v>
      </c>
      <c r="AG99" s="124">
        <v>1774.24</v>
      </c>
      <c r="AH99" s="124">
        <v>1831.04</v>
      </c>
      <c r="AI99" s="124">
        <v>1843.88</v>
      </c>
      <c r="AJ99" s="124">
        <v>1873.4</v>
      </c>
      <c r="AK99" s="124">
        <v>1924</v>
      </c>
      <c r="AL99" s="124">
        <v>1981.72</v>
      </c>
      <c r="AM99" s="124">
        <v>2003.52</v>
      </c>
      <c r="AN99" s="124">
        <v>2007.56</v>
      </c>
      <c r="AO99" s="124">
        <v>2007.56</v>
      </c>
      <c r="AP99" s="124">
        <v>2007.56</v>
      </c>
      <c r="AQ99" s="124">
        <v>2029.68</v>
      </c>
      <c r="AR99" s="124">
        <v>2052.04</v>
      </c>
      <c r="AS99" s="124">
        <v>2062.3200000000002</v>
      </c>
      <c r="AT99" s="124">
        <v>2062.3200000000002</v>
      </c>
      <c r="AU99" s="124">
        <v>2097.36</v>
      </c>
      <c r="AV99" s="124">
        <v>2254.96</v>
      </c>
      <c r="AW99" s="124">
        <v>2394.44</v>
      </c>
      <c r="AX99" s="125">
        <v>2413.6</v>
      </c>
      <c r="AY99" s="4"/>
      <c r="AZ99" s="1"/>
    </row>
    <row r="100" spans="17:52" x14ac:dyDescent="0.25"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13" spans="48:48" x14ac:dyDescent="0.25">
      <c r="AV113" s="2">
        <f>7844.2*4</f>
        <v>31376.799999999999</v>
      </c>
    </row>
    <row r="114" spans="48:48" x14ac:dyDescent="0.25">
      <c r="AV114" s="2">
        <v>31376.799999999999</v>
      </c>
    </row>
  </sheetData>
  <mergeCells count="22">
    <mergeCell ref="D9:G9"/>
    <mergeCell ref="T9:AJ9"/>
    <mergeCell ref="AK9:AT9"/>
    <mergeCell ref="R42:R52"/>
    <mergeCell ref="R53:S53"/>
    <mergeCell ref="R25:R35"/>
    <mergeCell ref="Q42:Q53"/>
    <mergeCell ref="R73:R83"/>
    <mergeCell ref="R88:R98"/>
    <mergeCell ref="AV9:AW9"/>
    <mergeCell ref="I10:J10"/>
    <mergeCell ref="K10:L10"/>
    <mergeCell ref="AV24:AW24"/>
    <mergeCell ref="H25:M25"/>
    <mergeCell ref="R8:S10"/>
    <mergeCell ref="T8:W8"/>
    <mergeCell ref="X8:AX8"/>
    <mergeCell ref="R11:R21"/>
    <mergeCell ref="T24:AJ24"/>
    <mergeCell ref="AK24:AT24"/>
    <mergeCell ref="R57:R67"/>
    <mergeCell ref="R68:S68"/>
  </mergeCells>
  <conditionalFormatting sqref="T88:T9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88:U9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88:V9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88:W9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88:X9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88:Y9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88:Z9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88:AA9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8:AB98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88:AC9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88:AD9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88:AE9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88:AF9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88:AG9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8:AH9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88:AI9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88:AJ9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88:AK9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88:AL9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88:AM9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88:AN9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88:AO9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88:AP9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88:AQ9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8:AR9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88:AS9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88:AT9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88:AU9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88:AV9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88:AW9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P38" r:id="rId1" xr:uid="{5CA7988B-2578-49A5-9CFD-261975A6EDDB}"/>
  </hyperlinks>
  <pageMargins left="0.7" right="0.7" top="0.75" bottom="0.75" header="0.3" footer="0.3"/>
  <ignoredErrors>
    <ignoredError sqref="AU26:AU3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AADF-A09A-4CB7-BD9E-594996615225}">
  <sheetPr>
    <tabColor rgb="FF92D050"/>
  </sheetPr>
  <dimension ref="B32:AL111"/>
  <sheetViews>
    <sheetView topLeftCell="A36" workbookViewId="0">
      <selection activeCell="AV40" sqref="AV40"/>
    </sheetView>
  </sheetViews>
  <sheetFormatPr defaultRowHeight="15" x14ac:dyDescent="0.25"/>
  <cols>
    <col min="1" max="1" width="9.140625" style="2"/>
    <col min="2" max="2" width="3.140625" style="2" customWidth="1"/>
    <col min="3" max="3" width="3.28515625" style="2" customWidth="1"/>
    <col min="4" max="4" width="5.7109375" style="2" customWidth="1"/>
    <col min="5" max="33" width="6.140625" style="2" customWidth="1"/>
    <col min="34" max="36" width="6.28515625" style="2" customWidth="1"/>
    <col min="37" max="16384" width="9.140625" style="2"/>
  </cols>
  <sheetData>
    <row r="32" spans="26:26" x14ac:dyDescent="0.25">
      <c r="Z32"/>
    </row>
    <row r="37" spans="2:38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2:38" x14ac:dyDescent="0.25">
      <c r="B38" s="1"/>
      <c r="AI38" s="1"/>
      <c r="AJ38" s="1"/>
      <c r="AK38" s="1"/>
      <c r="AL38" s="1"/>
    </row>
    <row r="39" spans="2:38" ht="7.5" customHeight="1" thickBo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2:38" ht="7.5" customHeight="1" thickTop="1" thickBot="1" x14ac:dyDescent="0.3">
      <c r="B40" s="207" t="s">
        <v>104</v>
      </c>
      <c r="C40" s="208"/>
      <c r="D40" s="209"/>
      <c r="E40" s="187"/>
      <c r="F40" s="187"/>
      <c r="G40" s="187"/>
      <c r="H40" s="188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8"/>
      <c r="AK40" s="1"/>
      <c r="AL40" s="1"/>
    </row>
    <row r="41" spans="2:38" ht="7.5" customHeight="1" thickTop="1" thickBot="1" x14ac:dyDescent="0.3">
      <c r="B41" s="207"/>
      <c r="C41" s="210"/>
      <c r="D41" s="211"/>
      <c r="E41" s="192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9"/>
      <c r="AG41" s="195"/>
      <c r="AH41" s="196"/>
      <c r="AI41" s="9"/>
      <c r="AJ41" s="9"/>
      <c r="AK41" s="1"/>
      <c r="AL41" s="1"/>
    </row>
    <row r="42" spans="2:38" ht="16.5" thickTop="1" thickBot="1" x14ac:dyDescent="0.3">
      <c r="B42" s="207"/>
      <c r="C42" s="212"/>
      <c r="D42" s="213"/>
      <c r="E42" s="37">
        <v>1995</v>
      </c>
      <c r="F42" s="10">
        <v>1996</v>
      </c>
      <c r="G42" s="10">
        <v>1997</v>
      </c>
      <c r="H42" s="11">
        <v>1998</v>
      </c>
      <c r="I42" s="11">
        <v>1999</v>
      </c>
      <c r="J42" s="11">
        <v>2000</v>
      </c>
      <c r="K42" s="12">
        <v>2001</v>
      </c>
      <c r="L42" s="12">
        <v>2002</v>
      </c>
      <c r="M42" s="12">
        <v>2003</v>
      </c>
      <c r="N42" s="12">
        <v>2004</v>
      </c>
      <c r="O42" s="12">
        <v>2005</v>
      </c>
      <c r="P42" s="12">
        <v>2006</v>
      </c>
      <c r="Q42" s="12">
        <v>2007</v>
      </c>
      <c r="R42" s="13">
        <v>2008</v>
      </c>
      <c r="S42" s="13">
        <v>2009</v>
      </c>
      <c r="T42" s="13">
        <v>2010</v>
      </c>
      <c r="U42" s="12">
        <v>2011</v>
      </c>
      <c r="V42" s="14">
        <v>2012</v>
      </c>
      <c r="W42" s="14">
        <v>2013</v>
      </c>
      <c r="X42" s="15">
        <v>2014</v>
      </c>
      <c r="Y42" s="16">
        <v>2015</v>
      </c>
      <c r="Z42" s="16">
        <v>2016</v>
      </c>
      <c r="AA42" s="16">
        <v>2017</v>
      </c>
      <c r="AB42" s="16">
        <v>2018</v>
      </c>
      <c r="AC42" s="17">
        <v>2019</v>
      </c>
      <c r="AD42" s="18">
        <v>2020</v>
      </c>
      <c r="AE42" s="18">
        <v>2021</v>
      </c>
      <c r="AF42" s="33">
        <v>2022</v>
      </c>
      <c r="AG42" s="20">
        <v>2023</v>
      </c>
      <c r="AH42" s="20">
        <v>2024</v>
      </c>
      <c r="AI42" s="33">
        <v>2025</v>
      </c>
      <c r="AJ42" s="7">
        <v>2026</v>
      </c>
      <c r="AK42" s="1"/>
      <c r="AL42" s="1"/>
    </row>
    <row r="43" spans="2:38" ht="15.75" customHeight="1" thickTop="1" x14ac:dyDescent="0.25">
      <c r="B43" s="207"/>
      <c r="C43" s="185" t="s">
        <v>1</v>
      </c>
      <c r="D43" s="3">
        <v>1</v>
      </c>
      <c r="E43" s="107">
        <v>100</v>
      </c>
      <c r="F43" s="107">
        <v>100</v>
      </c>
      <c r="G43" s="107">
        <v>100</v>
      </c>
      <c r="H43" s="107">
        <v>100</v>
      </c>
      <c r="I43" s="107">
        <v>100</v>
      </c>
      <c r="J43" s="107">
        <v>100</v>
      </c>
      <c r="K43" s="107">
        <v>100</v>
      </c>
      <c r="L43" s="107">
        <v>100</v>
      </c>
      <c r="M43" s="107">
        <v>100</v>
      </c>
      <c r="N43" s="107">
        <v>100</v>
      </c>
      <c r="O43" s="107">
        <v>100</v>
      </c>
      <c r="P43" s="107">
        <v>100</v>
      </c>
      <c r="Q43" s="107">
        <v>100</v>
      </c>
      <c r="R43" s="107">
        <v>100</v>
      </c>
      <c r="S43" s="107">
        <v>100</v>
      </c>
      <c r="T43" s="107">
        <v>100</v>
      </c>
      <c r="U43" s="107">
        <v>100</v>
      </c>
      <c r="V43" s="107">
        <v>100</v>
      </c>
      <c r="W43" s="107">
        <v>100</v>
      </c>
      <c r="X43" s="107">
        <v>100</v>
      </c>
      <c r="Y43" s="107">
        <v>100</v>
      </c>
      <c r="Z43" s="107">
        <v>100</v>
      </c>
      <c r="AA43" s="107">
        <v>100</v>
      </c>
      <c r="AB43" s="107">
        <v>100</v>
      </c>
      <c r="AC43" s="107">
        <v>100</v>
      </c>
      <c r="AD43" s="107">
        <v>100</v>
      </c>
      <c r="AE43" s="107">
        <v>100</v>
      </c>
      <c r="AF43" s="107">
        <v>100</v>
      </c>
      <c r="AG43" s="107">
        <v>100</v>
      </c>
      <c r="AH43" s="107">
        <v>100</v>
      </c>
      <c r="AI43" s="107">
        <v>100</v>
      </c>
      <c r="AJ43" s="108">
        <v>100</v>
      </c>
      <c r="AK43" s="1"/>
      <c r="AL43" s="1"/>
    </row>
    <row r="44" spans="2:38" x14ac:dyDescent="0.25">
      <c r="B44" s="207"/>
      <c r="C44" s="185"/>
      <c r="D44" s="3">
        <v>2</v>
      </c>
      <c r="E44" s="109">
        <v>99.999999999999986</v>
      </c>
      <c r="F44" s="109">
        <v>99.999999999999986</v>
      </c>
      <c r="G44" s="109">
        <v>99.999999999999986</v>
      </c>
      <c r="H44" s="109">
        <v>99.999999999999986</v>
      </c>
      <c r="I44" s="109">
        <v>99.999999999999986</v>
      </c>
      <c r="J44" s="109">
        <v>99.999999999999986</v>
      </c>
      <c r="K44" s="109">
        <v>99.999999999999986</v>
      </c>
      <c r="L44" s="109">
        <v>99.999999999999986</v>
      </c>
      <c r="M44" s="109">
        <v>99.999999999999986</v>
      </c>
      <c r="N44" s="109">
        <v>99.999999999999986</v>
      </c>
      <c r="O44" s="109">
        <v>99.999999999999986</v>
      </c>
      <c r="P44" s="109">
        <v>99.999999999999986</v>
      </c>
      <c r="Q44" s="109">
        <v>99.999999999999986</v>
      </c>
      <c r="R44" s="109">
        <v>99.999999999999986</v>
      </c>
      <c r="S44" s="109">
        <v>99.999999999999986</v>
      </c>
      <c r="T44" s="109">
        <v>99.999999999999986</v>
      </c>
      <c r="U44" s="109">
        <v>99.999999999999986</v>
      </c>
      <c r="V44" s="109">
        <v>100</v>
      </c>
      <c r="W44" s="109">
        <v>100</v>
      </c>
      <c r="X44" s="109">
        <v>100</v>
      </c>
      <c r="Y44" s="109">
        <v>100</v>
      </c>
      <c r="Z44" s="109">
        <v>100</v>
      </c>
      <c r="AA44" s="109">
        <v>100</v>
      </c>
      <c r="AB44" s="109">
        <v>100</v>
      </c>
      <c r="AC44" s="109">
        <v>100</v>
      </c>
      <c r="AD44" s="109">
        <v>100</v>
      </c>
      <c r="AE44" s="109">
        <v>100</v>
      </c>
      <c r="AF44" s="109">
        <v>99.999999999999986</v>
      </c>
      <c r="AG44" s="109">
        <v>100</v>
      </c>
      <c r="AH44" s="109">
        <v>100</v>
      </c>
      <c r="AI44" s="109">
        <v>99.999999999999986</v>
      </c>
      <c r="AJ44" s="110">
        <v>99.999999999999986</v>
      </c>
      <c r="AK44" s="1"/>
      <c r="AL44" s="1"/>
    </row>
    <row r="45" spans="2:38" x14ac:dyDescent="0.25">
      <c r="B45" s="207"/>
      <c r="C45" s="185"/>
      <c r="D45" s="3">
        <v>3</v>
      </c>
      <c r="E45" s="104">
        <v>98</v>
      </c>
      <c r="F45" s="104">
        <v>98</v>
      </c>
      <c r="G45" s="104">
        <v>98</v>
      </c>
      <c r="H45" s="104">
        <v>98</v>
      </c>
      <c r="I45" s="104">
        <v>98</v>
      </c>
      <c r="J45" s="104">
        <v>98</v>
      </c>
      <c r="K45" s="109">
        <v>100</v>
      </c>
      <c r="L45" s="109">
        <v>100</v>
      </c>
      <c r="M45" s="109">
        <v>100</v>
      </c>
      <c r="N45" s="109">
        <v>100</v>
      </c>
      <c r="O45" s="109">
        <v>100</v>
      </c>
      <c r="P45" s="109">
        <v>100</v>
      </c>
      <c r="Q45" s="109">
        <v>100</v>
      </c>
      <c r="R45" s="109">
        <v>100</v>
      </c>
      <c r="S45" s="109">
        <v>100</v>
      </c>
      <c r="T45" s="109">
        <v>100</v>
      </c>
      <c r="U45" s="109">
        <v>100</v>
      </c>
      <c r="V45" s="109">
        <v>100</v>
      </c>
      <c r="W45" s="109">
        <v>100</v>
      </c>
      <c r="X45" s="109">
        <v>100</v>
      </c>
      <c r="Y45" s="109">
        <v>100</v>
      </c>
      <c r="Z45" s="109">
        <v>100</v>
      </c>
      <c r="AA45" s="109">
        <v>100</v>
      </c>
      <c r="AB45" s="109">
        <v>100</v>
      </c>
      <c r="AC45" s="109">
        <v>100</v>
      </c>
      <c r="AD45" s="109">
        <v>100</v>
      </c>
      <c r="AE45" s="109">
        <v>100</v>
      </c>
      <c r="AF45" s="109">
        <v>100</v>
      </c>
      <c r="AG45" s="109">
        <v>100</v>
      </c>
      <c r="AH45" s="109">
        <v>100</v>
      </c>
      <c r="AI45" s="109">
        <v>100</v>
      </c>
      <c r="AJ45" s="110">
        <v>100</v>
      </c>
      <c r="AK45" s="1"/>
      <c r="AL45" s="1"/>
    </row>
    <row r="46" spans="2:38" x14ac:dyDescent="0.25">
      <c r="B46" s="207"/>
      <c r="C46" s="185"/>
      <c r="D46" s="3">
        <v>4</v>
      </c>
      <c r="E46" s="104">
        <v>93.571428571428555</v>
      </c>
      <c r="F46" s="104">
        <v>93.571428571428555</v>
      </c>
      <c r="G46" s="104">
        <v>93.571428571428555</v>
      </c>
      <c r="H46" s="104">
        <v>93.571428571428555</v>
      </c>
      <c r="I46" s="104">
        <v>93.571428571428555</v>
      </c>
      <c r="J46" s="104">
        <v>93.571428571428555</v>
      </c>
      <c r="K46" s="104">
        <v>98.571428571428569</v>
      </c>
      <c r="L46" s="104">
        <v>98.571428571428569</v>
      </c>
      <c r="M46" s="104">
        <v>98.571428571428569</v>
      </c>
      <c r="N46" s="104">
        <v>98.571428571428569</v>
      </c>
      <c r="O46" s="104">
        <v>98.571428571428569</v>
      </c>
      <c r="P46" s="104">
        <v>98.571428571428569</v>
      </c>
      <c r="Q46" s="104">
        <v>98.571428571428569</v>
      </c>
      <c r="R46" s="109">
        <v>100</v>
      </c>
      <c r="S46" s="109">
        <v>100</v>
      </c>
      <c r="T46" s="109">
        <v>100</v>
      </c>
      <c r="U46" s="104">
        <v>98.571428571428569</v>
      </c>
      <c r="V46" s="104">
        <v>40</v>
      </c>
      <c r="W46" s="104">
        <v>40</v>
      </c>
      <c r="X46" s="104">
        <v>95</v>
      </c>
      <c r="Y46" s="104">
        <v>95</v>
      </c>
      <c r="Z46" s="104">
        <v>95</v>
      </c>
      <c r="AA46" s="104">
        <v>95</v>
      </c>
      <c r="AB46" s="104">
        <v>95</v>
      </c>
      <c r="AC46" s="104">
        <v>97</v>
      </c>
      <c r="AD46" s="109">
        <v>100</v>
      </c>
      <c r="AE46" s="109">
        <v>100</v>
      </c>
      <c r="AF46" s="109">
        <v>100</v>
      </c>
      <c r="AG46" s="109">
        <v>100</v>
      </c>
      <c r="AH46" s="109">
        <v>100</v>
      </c>
      <c r="AI46" s="109">
        <v>100</v>
      </c>
      <c r="AJ46" s="110">
        <v>100</v>
      </c>
      <c r="AK46" s="1"/>
      <c r="AL46" s="1"/>
    </row>
    <row r="47" spans="2:38" x14ac:dyDescent="0.25">
      <c r="B47" s="207"/>
      <c r="C47" s="185"/>
      <c r="D47" s="3">
        <v>5</v>
      </c>
      <c r="E47" s="104">
        <v>89.444444444444443</v>
      </c>
      <c r="F47" s="104">
        <v>89.444444444444443</v>
      </c>
      <c r="G47" s="104">
        <v>89.444444444444443</v>
      </c>
      <c r="H47" s="104">
        <v>0</v>
      </c>
      <c r="I47" s="104">
        <v>89.444444444444443</v>
      </c>
      <c r="J47" s="104">
        <v>89.444444444444443</v>
      </c>
      <c r="K47" s="104">
        <v>96.666666666666657</v>
      </c>
      <c r="L47" s="104">
        <v>96.666666666666657</v>
      </c>
      <c r="M47" s="104">
        <v>96.666666666666657</v>
      </c>
      <c r="N47" s="104">
        <v>96.666666666666657</v>
      </c>
      <c r="O47" s="104">
        <v>96.666666666666657</v>
      </c>
      <c r="P47" s="104">
        <v>96.666666666666657</v>
      </c>
      <c r="Q47" s="104">
        <v>96.666666666666657</v>
      </c>
      <c r="R47" s="109">
        <v>100</v>
      </c>
      <c r="S47" s="109">
        <v>100</v>
      </c>
      <c r="T47" s="109">
        <v>100</v>
      </c>
      <c r="U47" s="104">
        <v>96.666666666666657</v>
      </c>
      <c r="V47" s="104">
        <v>20</v>
      </c>
      <c r="W47" s="104">
        <v>20</v>
      </c>
      <c r="X47" s="104">
        <v>75</v>
      </c>
      <c r="Y47" s="104">
        <v>75</v>
      </c>
      <c r="Z47" s="104">
        <v>75</v>
      </c>
      <c r="AA47" s="104">
        <v>75</v>
      </c>
      <c r="AB47" s="104">
        <v>75</v>
      </c>
      <c r="AC47" s="104">
        <v>77</v>
      </c>
      <c r="AD47" s="104">
        <v>77</v>
      </c>
      <c r="AE47" s="104">
        <v>77</v>
      </c>
      <c r="AF47" s="104">
        <v>98.888888888888886</v>
      </c>
      <c r="AG47" s="104">
        <v>85</v>
      </c>
      <c r="AH47" s="104">
        <v>85</v>
      </c>
      <c r="AI47" s="104">
        <v>98.888888888888886</v>
      </c>
      <c r="AJ47" s="105">
        <v>98.888888888888886</v>
      </c>
      <c r="AK47" s="1"/>
      <c r="AL47" s="1"/>
    </row>
    <row r="48" spans="2:38" x14ac:dyDescent="0.25">
      <c r="B48" s="207"/>
      <c r="C48" s="185"/>
      <c r="D48" s="3">
        <v>6</v>
      </c>
      <c r="E48" s="104">
        <v>86.818181818181827</v>
      </c>
      <c r="F48" s="104">
        <v>86.818181818181827</v>
      </c>
      <c r="G48" s="104">
        <v>86.818181818181827</v>
      </c>
      <c r="H48" s="104">
        <v>0</v>
      </c>
      <c r="I48" s="104">
        <v>82.727272727272748</v>
      </c>
      <c r="J48" s="104">
        <v>82.727272727272748</v>
      </c>
      <c r="K48" s="104">
        <v>94.090909090909079</v>
      </c>
      <c r="L48" s="104">
        <v>94.090909090909079</v>
      </c>
      <c r="M48" s="104">
        <v>94.090909090909079</v>
      </c>
      <c r="N48" s="104">
        <v>94.090909090909079</v>
      </c>
      <c r="O48" s="104">
        <v>94.090909090909079</v>
      </c>
      <c r="P48" s="104">
        <v>94.090909090909079</v>
      </c>
      <c r="Q48" s="104">
        <v>94.090909090909079</v>
      </c>
      <c r="R48" s="104">
        <v>97.727272727272734</v>
      </c>
      <c r="S48" s="104">
        <v>97.727272727272734</v>
      </c>
      <c r="T48" s="104">
        <v>97.727272727272734</v>
      </c>
      <c r="U48" s="104">
        <v>94.090909090909079</v>
      </c>
      <c r="V48" s="104">
        <v>10</v>
      </c>
      <c r="W48" s="104">
        <v>10</v>
      </c>
      <c r="X48" s="104">
        <v>50</v>
      </c>
      <c r="Y48" s="104">
        <v>50</v>
      </c>
      <c r="Z48" s="104">
        <v>50</v>
      </c>
      <c r="AA48" s="104">
        <v>50</v>
      </c>
      <c r="AB48" s="104">
        <v>50</v>
      </c>
      <c r="AC48" s="104">
        <v>52</v>
      </c>
      <c r="AD48" s="104">
        <v>52</v>
      </c>
      <c r="AE48" s="104">
        <v>52</v>
      </c>
      <c r="AF48" s="104">
        <v>95.909090909090907</v>
      </c>
      <c r="AG48" s="104">
        <v>53</v>
      </c>
      <c r="AH48" s="104">
        <v>53</v>
      </c>
      <c r="AI48" s="104">
        <v>95.909090909090907</v>
      </c>
      <c r="AJ48" s="104">
        <v>95.909090909090907</v>
      </c>
      <c r="AK48" s="1"/>
      <c r="AL48" s="1"/>
    </row>
    <row r="49" spans="2:38" x14ac:dyDescent="0.25">
      <c r="B49" s="207"/>
      <c r="C49" s="185"/>
      <c r="D49" s="3">
        <v>7</v>
      </c>
      <c r="E49" s="104">
        <v>85</v>
      </c>
      <c r="F49" s="104">
        <v>85</v>
      </c>
      <c r="G49" s="104">
        <v>85</v>
      </c>
      <c r="H49" s="104">
        <v>0</v>
      </c>
      <c r="I49" s="104">
        <v>74.615384615384613</v>
      </c>
      <c r="J49" s="104">
        <v>74.615384615384613</v>
      </c>
      <c r="K49" s="104">
        <v>91.153846153846146</v>
      </c>
      <c r="L49" s="104">
        <v>91.153846153846146</v>
      </c>
      <c r="M49" s="104">
        <v>91.153846153846146</v>
      </c>
      <c r="N49" s="104">
        <v>91.153846153846146</v>
      </c>
      <c r="O49" s="104">
        <v>91.153846153846146</v>
      </c>
      <c r="P49" s="104">
        <v>91.153846153846146</v>
      </c>
      <c r="Q49" s="104">
        <v>91.153846153846146</v>
      </c>
      <c r="R49" s="104">
        <v>94.230769230769226</v>
      </c>
      <c r="S49" s="104">
        <v>94.230769230769226</v>
      </c>
      <c r="T49" s="104">
        <v>94.230769230769226</v>
      </c>
      <c r="U49" s="104">
        <v>91.153846153846146</v>
      </c>
      <c r="V49" s="104">
        <v>0</v>
      </c>
      <c r="W49" s="104">
        <v>0</v>
      </c>
      <c r="X49" s="104">
        <v>40</v>
      </c>
      <c r="Y49" s="104">
        <v>45</v>
      </c>
      <c r="Z49" s="104">
        <v>45</v>
      </c>
      <c r="AA49" s="104">
        <v>45</v>
      </c>
      <c r="AB49" s="104">
        <v>45</v>
      </c>
      <c r="AC49" s="104">
        <v>47</v>
      </c>
      <c r="AD49" s="104">
        <v>47</v>
      </c>
      <c r="AE49" s="104">
        <v>47</v>
      </c>
      <c r="AF49" s="104">
        <v>92.692307692307693</v>
      </c>
      <c r="AG49" s="104">
        <v>47</v>
      </c>
      <c r="AH49" s="104">
        <v>47</v>
      </c>
      <c r="AI49" s="104">
        <v>92.692307692307693</v>
      </c>
      <c r="AJ49" s="104">
        <v>92.692307692307693</v>
      </c>
      <c r="AK49" s="1"/>
      <c r="AL49" s="1"/>
    </row>
    <row r="50" spans="2:38" x14ac:dyDescent="0.25">
      <c r="B50" s="207"/>
      <c r="C50" s="185"/>
      <c r="D50" s="3">
        <v>8</v>
      </c>
      <c r="E50" s="104">
        <v>83.666666666666671</v>
      </c>
      <c r="F50" s="104">
        <v>83.666666666666671</v>
      </c>
      <c r="G50" s="104">
        <v>83.666666666666671</v>
      </c>
      <c r="H50" s="104">
        <v>0</v>
      </c>
      <c r="I50" s="104">
        <v>68.666666666666671</v>
      </c>
      <c r="J50" s="104">
        <v>68.666666666666671</v>
      </c>
      <c r="K50" s="104">
        <v>89</v>
      </c>
      <c r="L50" s="104">
        <v>89</v>
      </c>
      <c r="M50" s="104">
        <v>89</v>
      </c>
      <c r="N50" s="104">
        <v>89</v>
      </c>
      <c r="O50" s="104">
        <v>89</v>
      </c>
      <c r="P50" s="104">
        <v>89</v>
      </c>
      <c r="Q50" s="104">
        <v>89</v>
      </c>
      <c r="R50" s="104">
        <v>91.666666666666671</v>
      </c>
      <c r="S50" s="104">
        <v>91.666666666666671</v>
      </c>
      <c r="T50" s="104">
        <v>91.666666666666671</v>
      </c>
      <c r="U50" s="104">
        <v>89</v>
      </c>
      <c r="V50" s="104">
        <v>0</v>
      </c>
      <c r="W50" s="104">
        <v>0</v>
      </c>
      <c r="X50" s="104">
        <v>0</v>
      </c>
      <c r="Y50" s="104">
        <v>45</v>
      </c>
      <c r="Z50" s="104">
        <v>45</v>
      </c>
      <c r="AA50" s="104">
        <v>45</v>
      </c>
      <c r="AB50" s="104">
        <v>45</v>
      </c>
      <c r="AC50" s="104">
        <v>47</v>
      </c>
      <c r="AD50" s="104">
        <v>47</v>
      </c>
      <c r="AE50" s="104">
        <v>47</v>
      </c>
      <c r="AF50" s="104">
        <v>90.333333333333343</v>
      </c>
      <c r="AG50" s="104">
        <v>47</v>
      </c>
      <c r="AH50" s="104">
        <v>47</v>
      </c>
      <c r="AI50" s="104">
        <v>90.333333333333343</v>
      </c>
      <c r="AJ50" s="104">
        <v>90.333333333333343</v>
      </c>
      <c r="AK50" s="1"/>
      <c r="AL50" s="1"/>
    </row>
    <row r="51" spans="2:38" x14ac:dyDescent="0.25">
      <c r="B51" s="207"/>
      <c r="C51" s="185"/>
      <c r="D51" s="3">
        <v>9</v>
      </c>
      <c r="E51" s="104">
        <v>82.64705882352942</v>
      </c>
      <c r="F51" s="104">
        <v>82.64705882352942</v>
      </c>
      <c r="G51" s="104">
        <v>82.64705882352942</v>
      </c>
      <c r="H51" s="104">
        <v>0</v>
      </c>
      <c r="I51" s="104">
        <v>62.352941176470594</v>
      </c>
      <c r="J51" s="104">
        <v>62.352941176470594</v>
      </c>
      <c r="K51" s="104">
        <v>87.35294117647058</v>
      </c>
      <c r="L51" s="104">
        <v>87.35294117647058</v>
      </c>
      <c r="M51" s="104">
        <v>87.35294117647058</v>
      </c>
      <c r="N51" s="104">
        <v>87.35294117647058</v>
      </c>
      <c r="O51" s="104">
        <v>87.35294117647058</v>
      </c>
      <c r="P51" s="104">
        <v>87.35294117647058</v>
      </c>
      <c r="Q51" s="104">
        <v>87.35294117647058</v>
      </c>
      <c r="R51" s="104">
        <v>0</v>
      </c>
      <c r="S51" s="104">
        <v>89.705882352941174</v>
      </c>
      <c r="T51" s="104">
        <v>89.705882352941174</v>
      </c>
      <c r="U51" s="104">
        <v>87.35294117647058</v>
      </c>
      <c r="V51" s="104">
        <v>0</v>
      </c>
      <c r="W51" s="104">
        <v>0</v>
      </c>
      <c r="X51" s="104">
        <v>0</v>
      </c>
      <c r="Y51" s="104">
        <v>45</v>
      </c>
      <c r="Z51" s="104">
        <v>45</v>
      </c>
      <c r="AA51" s="104">
        <v>45</v>
      </c>
      <c r="AB51" s="104">
        <v>45</v>
      </c>
      <c r="AC51" s="104">
        <v>45</v>
      </c>
      <c r="AD51" s="104">
        <v>45</v>
      </c>
      <c r="AE51" s="104">
        <v>45</v>
      </c>
      <c r="AF51" s="104">
        <v>88.529411764705884</v>
      </c>
      <c r="AG51" s="104">
        <v>37</v>
      </c>
      <c r="AH51" s="104">
        <v>37</v>
      </c>
      <c r="AI51" s="104">
        <v>88.529411764705884</v>
      </c>
      <c r="AJ51" s="104">
        <v>88.529411764705884</v>
      </c>
      <c r="AK51" s="1"/>
      <c r="AL51" s="1"/>
    </row>
    <row r="52" spans="2:38" x14ac:dyDescent="0.25">
      <c r="B52" s="207"/>
      <c r="C52" s="185"/>
      <c r="D52" s="3">
        <v>10</v>
      </c>
      <c r="E52" s="104">
        <v>81.842105263157876</v>
      </c>
      <c r="F52" s="104">
        <v>81.842105263157876</v>
      </c>
      <c r="G52" s="104">
        <v>81.842105263157876</v>
      </c>
      <c r="H52" s="104">
        <v>0</v>
      </c>
      <c r="I52" s="104">
        <v>55.789473684210513</v>
      </c>
      <c r="J52" s="104">
        <v>55.789473684210513</v>
      </c>
      <c r="K52" s="104">
        <v>86.052631578947356</v>
      </c>
      <c r="L52" s="104">
        <v>86.052631578947356</v>
      </c>
      <c r="M52" s="104">
        <v>86.052631578947356</v>
      </c>
      <c r="N52" s="104">
        <v>86.052631578947356</v>
      </c>
      <c r="O52" s="104">
        <v>86.052631578947356</v>
      </c>
      <c r="P52" s="104">
        <v>86.052631578947356</v>
      </c>
      <c r="Q52" s="104">
        <v>86.052631578947356</v>
      </c>
      <c r="R52" s="104">
        <v>0</v>
      </c>
      <c r="S52" s="104">
        <v>88.157894736842096</v>
      </c>
      <c r="T52" s="104">
        <v>88.157894736842096</v>
      </c>
      <c r="U52" s="104">
        <v>86.052631578947356</v>
      </c>
      <c r="V52" s="104">
        <v>0</v>
      </c>
      <c r="W52" s="104">
        <v>0</v>
      </c>
      <c r="X52" s="104">
        <v>0</v>
      </c>
      <c r="Y52" s="104">
        <v>45</v>
      </c>
      <c r="Z52" s="104">
        <v>45</v>
      </c>
      <c r="AA52" s="104">
        <v>45</v>
      </c>
      <c r="AB52" s="104">
        <v>45</v>
      </c>
      <c r="AC52" s="104">
        <v>40</v>
      </c>
      <c r="AD52" s="104">
        <v>40</v>
      </c>
      <c r="AE52" s="104">
        <v>40</v>
      </c>
      <c r="AF52" s="104">
        <v>87.105263157894726</v>
      </c>
      <c r="AG52" s="104">
        <v>37</v>
      </c>
      <c r="AH52" s="104">
        <v>37</v>
      </c>
      <c r="AI52" s="104">
        <v>87.105263157894726</v>
      </c>
      <c r="AJ52" s="104">
        <v>87.105263157894726</v>
      </c>
      <c r="AK52" s="1"/>
      <c r="AL52" s="1"/>
    </row>
    <row r="53" spans="2:38" ht="15.75" thickBot="1" x14ac:dyDescent="0.3">
      <c r="B53" s="207"/>
      <c r="C53" s="186"/>
      <c r="D53" s="40" t="s">
        <v>0</v>
      </c>
      <c r="E53" s="106">
        <v>81.190476190476161</v>
      </c>
      <c r="F53" s="106">
        <v>81.190476190476161</v>
      </c>
      <c r="G53" s="106">
        <v>81.190476190476161</v>
      </c>
      <c r="H53" s="106">
        <v>0</v>
      </c>
      <c r="I53" s="106">
        <v>50.47619047619046</v>
      </c>
      <c r="J53" s="106">
        <v>50.47619047619046</v>
      </c>
      <c r="K53" s="106">
        <v>84.999999999999972</v>
      </c>
      <c r="L53" s="106">
        <v>84.999999999999972</v>
      </c>
      <c r="M53" s="106">
        <v>84.999999999999972</v>
      </c>
      <c r="N53" s="106">
        <v>84.999999999999972</v>
      </c>
      <c r="O53" s="106">
        <v>84.999999999999972</v>
      </c>
      <c r="P53" s="106">
        <v>84.999999999999972</v>
      </c>
      <c r="Q53" s="106">
        <v>84.999999999999972</v>
      </c>
      <c r="R53" s="106">
        <v>0</v>
      </c>
      <c r="S53" s="106">
        <v>86.904761904761884</v>
      </c>
      <c r="T53" s="106">
        <v>86.904761904761884</v>
      </c>
      <c r="U53" s="106">
        <v>84.999999999999972</v>
      </c>
      <c r="V53" s="106">
        <v>0</v>
      </c>
      <c r="W53" s="106">
        <v>0</v>
      </c>
      <c r="X53" s="106">
        <v>0</v>
      </c>
      <c r="Y53" s="106">
        <v>45</v>
      </c>
      <c r="Z53" s="106">
        <v>45</v>
      </c>
      <c r="AA53" s="106">
        <v>45</v>
      </c>
      <c r="AB53" s="106">
        <v>45</v>
      </c>
      <c r="AC53" s="106">
        <v>40</v>
      </c>
      <c r="AD53" s="106">
        <v>40</v>
      </c>
      <c r="AE53" s="106">
        <v>40</v>
      </c>
      <c r="AF53" s="106">
        <v>85.952380952380935</v>
      </c>
      <c r="AG53" s="106">
        <v>32</v>
      </c>
      <c r="AH53" s="106">
        <v>22</v>
      </c>
      <c r="AI53" s="106">
        <v>85.952380952380935</v>
      </c>
      <c r="AJ53" s="106">
        <v>85.952380952380935</v>
      </c>
      <c r="AK53" s="1"/>
      <c r="AL53" s="1"/>
    </row>
    <row r="54" spans="2:38" ht="9" customHeight="1" thickTop="1" x14ac:dyDescent="0.25">
      <c r="B54" s="12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31"/>
      <c r="AJ54" s="131"/>
      <c r="AK54" s="1"/>
      <c r="AL54" s="1"/>
    </row>
    <row r="55" spans="2:38" x14ac:dyDescent="0.25">
      <c r="B55" s="127"/>
      <c r="C55" s="206" t="s">
        <v>53</v>
      </c>
      <c r="D55" s="206"/>
      <c r="E55" s="134">
        <v>5.4</v>
      </c>
      <c r="F55" s="134">
        <v>3.9</v>
      </c>
      <c r="G55" s="130">
        <v>1.7</v>
      </c>
      <c r="H55" s="130">
        <v>1.8</v>
      </c>
      <c r="I55" s="130">
        <v>1.6</v>
      </c>
      <c r="J55" s="130">
        <v>2.6</v>
      </c>
      <c r="K55" s="130">
        <v>2.7</v>
      </c>
      <c r="L55" s="130">
        <v>2.4</v>
      </c>
      <c r="M55" s="130">
        <v>2.5</v>
      </c>
      <c r="N55" s="130">
        <v>2</v>
      </c>
      <c r="O55" s="130">
        <v>1.7</v>
      </c>
      <c r="P55" s="130">
        <v>2</v>
      </c>
      <c r="Q55" s="130">
        <v>1.7</v>
      </c>
      <c r="R55" s="130">
        <v>3.2</v>
      </c>
      <c r="S55" s="130">
        <v>0.7</v>
      </c>
      <c r="T55" s="130">
        <v>1.6</v>
      </c>
      <c r="U55" s="130">
        <v>2.7</v>
      </c>
      <c r="V55" s="130">
        <v>3</v>
      </c>
      <c r="W55" s="130">
        <v>1.1000000000000001</v>
      </c>
      <c r="X55" s="130">
        <v>0.2</v>
      </c>
      <c r="Y55" s="130">
        <v>-0.1</v>
      </c>
      <c r="Z55" s="130">
        <v>-0.1</v>
      </c>
      <c r="AA55" s="130">
        <v>1.1000000000000001</v>
      </c>
      <c r="AB55" s="130">
        <v>1.1000000000000001</v>
      </c>
      <c r="AC55" s="130">
        <v>0.5</v>
      </c>
      <c r="AD55" s="130">
        <v>-0.3</v>
      </c>
      <c r="AE55" s="130">
        <v>1.9</v>
      </c>
      <c r="AF55" s="134">
        <v>8.1</v>
      </c>
      <c r="AG55" s="134">
        <v>5.4</v>
      </c>
      <c r="AH55" s="130">
        <v>0.8</v>
      </c>
      <c r="AI55" s="131"/>
      <c r="AJ55" s="131"/>
      <c r="AK55" s="1"/>
      <c r="AL55" s="1"/>
    </row>
    <row r="56" spans="2:38" x14ac:dyDescent="0.25">
      <c r="B56" s="127"/>
      <c r="C56" s="132"/>
      <c r="D56" s="132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1"/>
      <c r="AJ56" s="131"/>
      <c r="AK56" s="1"/>
      <c r="AL56" s="1"/>
    </row>
    <row r="57" spans="2:38" ht="15.75" thickBot="1" x14ac:dyDescent="0.3">
      <c r="B57" s="1"/>
      <c r="C57" s="1"/>
      <c r="D57" s="1" t="s">
        <v>21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8" ht="16.5" thickTop="1" thickBot="1" x14ac:dyDescent="0.3">
      <c r="B58" s="1"/>
      <c r="C58" s="1"/>
      <c r="D58" s="21"/>
      <c r="E58" s="19" t="s">
        <v>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ht="16.5" thickTop="1" thickBot="1" x14ac:dyDescent="0.3">
      <c r="B59" s="1"/>
      <c r="C59" s="1"/>
      <c r="D59" s="22"/>
      <c r="E59" s="19" t="s">
        <v>18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2:38" ht="16.5" thickTop="1" thickBot="1" x14ac:dyDescent="0.3">
      <c r="B60" s="1"/>
      <c r="C60" s="1"/>
      <c r="D60" s="23"/>
      <c r="E60" s="19" t="s">
        <v>19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38" ht="16.5" thickTop="1" thickBot="1" x14ac:dyDescent="0.3">
      <c r="B61" s="1"/>
      <c r="C61" s="1"/>
      <c r="D61" s="24" t="s">
        <v>9</v>
      </c>
      <c r="E61" s="1" t="s">
        <v>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38" ht="16.5" thickTop="1" thickBot="1" x14ac:dyDescent="0.3">
      <c r="B62" s="1"/>
      <c r="C62" s="1"/>
      <c r="D62" s="25" t="s">
        <v>10</v>
      </c>
      <c r="E62" s="1" t="s">
        <v>161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2:38" ht="16.5" thickTop="1" thickBot="1" x14ac:dyDescent="0.3">
      <c r="B63" s="1"/>
      <c r="C63" s="1"/>
      <c r="D63" s="26" t="s">
        <v>11</v>
      </c>
      <c r="E63" s="1" t="s">
        <v>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8" ht="16.5" thickTop="1" thickBot="1" x14ac:dyDescent="0.3">
      <c r="B64" s="1"/>
      <c r="C64" s="1"/>
      <c r="D64" s="27" t="s">
        <v>12</v>
      </c>
      <c r="E64" s="1" t="s">
        <v>160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ht="16.5" thickTop="1" thickBot="1" x14ac:dyDescent="0.3">
      <c r="B65" s="1"/>
      <c r="C65" s="1"/>
      <c r="D65" s="26" t="s">
        <v>16</v>
      </c>
      <c r="E65" s="1" t="s">
        <v>17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ht="16.5" thickTop="1" thickBot="1" x14ac:dyDescent="0.3">
      <c r="B66" s="1"/>
      <c r="C66" s="1"/>
      <c r="D66" s="28" t="s">
        <v>13</v>
      </c>
      <c r="E66" s="1" t="s">
        <v>22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ht="15.75" thickTop="1" x14ac:dyDescent="0.25">
      <c r="B67" s="1"/>
      <c r="C67" s="1"/>
      <c r="D67" s="169">
        <v>2014</v>
      </c>
      <c r="E67" s="1" t="s">
        <v>23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ht="15.75" thickBot="1" x14ac:dyDescent="0.3">
      <c r="B68" s="1"/>
      <c r="C68" s="1"/>
      <c r="D68" s="170"/>
      <c r="E68" s="1" t="s">
        <v>28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ht="16.5" thickTop="1" thickBot="1" x14ac:dyDescent="0.3">
      <c r="B69" s="1"/>
      <c r="C69" s="1"/>
      <c r="D69" s="29" t="s">
        <v>15</v>
      </c>
      <c r="E69" s="1" t="s">
        <v>5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ht="16.5" thickTop="1" thickBot="1" x14ac:dyDescent="0.3">
      <c r="B70" s="1"/>
      <c r="C70" s="1"/>
      <c r="D70" s="30">
        <v>2019</v>
      </c>
      <c r="E70" s="1" t="s">
        <v>7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ht="16.5" thickTop="1" thickBot="1" x14ac:dyDescent="0.3">
      <c r="B71" s="1"/>
      <c r="C71" s="1"/>
      <c r="D71" s="31" t="s">
        <v>14</v>
      </c>
      <c r="E71" s="1" t="s">
        <v>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2:38" ht="16.5" thickTop="1" thickBot="1" x14ac:dyDescent="0.3">
      <c r="B72" s="1"/>
      <c r="C72" s="1"/>
      <c r="D72" s="34">
        <v>2022</v>
      </c>
      <c r="E72" s="1" t="s">
        <v>20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2:38" ht="16.5" thickTop="1" thickBot="1" x14ac:dyDescent="0.3">
      <c r="B73" s="1"/>
      <c r="C73" s="1"/>
      <c r="D73" s="32">
        <v>2023</v>
      </c>
      <c r="E73" s="1" t="s">
        <v>24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38" ht="16.5" thickTop="1" thickBot="1" x14ac:dyDescent="0.3">
      <c r="B74" s="1"/>
      <c r="C74" s="1"/>
      <c r="D74" s="32">
        <v>2024</v>
      </c>
      <c r="E74" s="1" t="s">
        <v>25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38" ht="16.5" thickTop="1" thickBot="1" x14ac:dyDescent="0.3">
      <c r="B75" s="1"/>
      <c r="C75" s="1"/>
      <c r="D75" s="34">
        <v>2025</v>
      </c>
      <c r="E75" s="1" t="s">
        <v>26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38" ht="16.5" thickTop="1" thickBot="1" x14ac:dyDescent="0.3">
      <c r="B76" s="1"/>
      <c r="C76" s="1"/>
      <c r="D76" s="35">
        <v>2026</v>
      </c>
      <c r="E76" s="1" t="s">
        <v>27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8" ht="15.75" thickTop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110" spans="28:28" x14ac:dyDescent="0.25">
      <c r="AB110" s="2">
        <f>598*6</f>
        <v>3588</v>
      </c>
    </row>
    <row r="111" spans="28:28" x14ac:dyDescent="0.25">
      <c r="AB111" s="2">
        <f>1.2%*50%*AB110</f>
        <v>21.527999999999999</v>
      </c>
    </row>
  </sheetData>
  <mergeCells count="10">
    <mergeCell ref="C55:D55"/>
    <mergeCell ref="D67:D68"/>
    <mergeCell ref="B40:B53"/>
    <mergeCell ref="C40:D42"/>
    <mergeCell ref="E40:H40"/>
    <mergeCell ref="I40:AI40"/>
    <mergeCell ref="E41:U41"/>
    <mergeCell ref="V41:AE41"/>
    <mergeCell ref="AG41:AH41"/>
    <mergeCell ref="C43:C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Normativa</vt:lpstr>
      <vt:lpstr>RIF dal web solo per check</vt:lpstr>
      <vt:lpstr>Elab. elasticità</vt:lpstr>
      <vt:lpstr>Elab. elasticità alt.</vt:lpstr>
      <vt:lpstr>Elab. elasticità alt. (2)</vt:lpstr>
      <vt:lpstr>Elab. elasticità alt. (3)</vt:lpstr>
      <vt:lpstr>dati da INPS</vt:lpstr>
      <vt:lpstr>Fattri cumul.</vt:lpstr>
      <vt:lpstr>per Tab2. 2</vt:lpstr>
      <vt:lpstr>TM</vt:lpstr>
      <vt:lpstr>WHITEBOARD</vt:lpstr>
      <vt:lpstr>DECORRENZA</vt:lpstr>
      <vt:lpstr>DECORRENZA (2)</vt:lpstr>
      <vt:lpstr>DECORRENZA (6)</vt:lpstr>
      <vt:lpstr>DECORRENZA (3)</vt:lpstr>
      <vt:lpstr>DECORRENZA (4)</vt:lpstr>
      <vt:lpstr>DECORRENZA (5)</vt:lpstr>
      <vt:lpstr>DECORRENZA (7)</vt:lpstr>
      <vt:lpstr>RETR</vt:lpstr>
      <vt:lpstr>Elab. elasticità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Salerno Nicola Carmine</dc:creator>
  <cp:lastModifiedBy>Salerno Nicola Carmine</cp:lastModifiedBy>
  <dcterms:created xsi:type="dcterms:W3CDTF">2025-09-15T10:39:55Z</dcterms:created>
  <dcterms:modified xsi:type="dcterms:W3CDTF">2026-01-07T13:50:00Z</dcterms:modified>
</cp:coreProperties>
</file>